
<file path=[Content_Types].xml><?xml version="1.0" encoding="utf-8"?>
<Types xmlns="http://schemas.openxmlformats.org/package/2006/content-types">
  <Override PartName="/xl/charts/chart7.xml" ContentType="application/vnd.openxmlformats-officedocument.drawingml.chart+xml"/>
  <Override PartName="/xl/drawings/drawing21.xml" ContentType="application/vnd.openxmlformats-officedocument.drawing+xml"/>
  <Override PartName="/xl/worksheets/sheet25.xml" ContentType="application/vnd.openxmlformats-officedocument.spreadsheetml.worksheet+xml"/>
  <Override PartName="/xl/drawings/drawing7.xml" ContentType="application/vnd.openxmlformats-officedocument.drawing+xml"/>
  <Default Extension="xml" ContentType="application/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worksheets/sheet8.xml" ContentType="application/vnd.openxmlformats-officedocument.spreadsheetml.workshee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worksheets/sheet15.xml" ContentType="application/vnd.openxmlformats-officedocument.spreadsheetml.worksheet+xml"/>
  <Override PartName="/xl/charts/chart28.xml" ContentType="application/vnd.openxmlformats-officedocument.drawingml.chart+xml"/>
  <Override PartName="/xl/charts/chart6.xml" ContentType="application/vnd.openxmlformats-officedocument.drawingml.chart+xml"/>
  <Override PartName="/xl/drawings/drawing20.xml" ContentType="application/vnd.openxmlformats-officedocument.drawing+xml"/>
  <Override PartName="/xl/worksheets/sheet24.xml" ContentType="application/vnd.openxmlformats-officedocument.spreadsheetml.worksheet+xml"/>
  <Override PartName="/xl/chartsheets/sheet2.xml" ContentType="application/vnd.openxmlformats-officedocument.spreadsheetml.chartsheet+xml"/>
  <Override PartName="/docProps/core.xml" ContentType="application/vnd.openxmlformats-package.core-properties+xml"/>
  <Override PartName="/xl/drawings/drawing19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worksheets/sheet7.xml" ContentType="application/vnd.openxmlformats-officedocument.spreadsheetml.worksheet+xml"/>
  <Override PartName="/xl/theme/theme1.xml" ContentType="application/vnd.openxmlformats-officedocument.theme+xml"/>
  <Default Extension="vml" ContentType="application/vnd.openxmlformats-officedocument.vmlDrawing"/>
  <Override PartName="/xl/charts/chart18.xml" ContentType="application/vnd.openxmlformats-officedocument.drawingml.chart+xml"/>
  <Default Extension="emf" ContentType="image/x-emf"/>
  <Override PartName="/xl/calcChain.xml" ContentType="application/vnd.openxmlformats-officedocument.spreadsheetml.calcChain+xml"/>
  <Override PartName="/xl/charts/chart11.xml" ContentType="application/vnd.openxmlformats-officedocument.drawingml.chart+xml"/>
  <Default Extension="png" ContentType="image/png"/>
  <Override PartName="/xl/worksheets/sheet14.xml" ContentType="application/vnd.openxmlformats-officedocument.spreadsheetml.worksheet+xml"/>
  <Override PartName="/xl/charts/chart27.xml" ContentType="application/vnd.openxmlformats-officedocument.drawingml.chart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/chart5.xml" ContentType="application/vnd.openxmlformats-officedocument.drawingml.chart+xml"/>
  <Override PartName="/xl/worksheets/sheet23.xml" ContentType="application/vnd.openxmlformats-officedocument.spreadsheetml.worksheet+xml"/>
  <Override PartName="/xl/drawings/drawing18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worksheets/sheet6.xml" ContentType="application/vnd.openxmlformats-officedocument.spreadsheetml.worksheet+xml"/>
  <Override PartName="/xl/charts/chart17.xml" ContentType="application/vnd.openxmlformats-officedocument.drawingml.chart+xml"/>
  <Override PartName="/xl/worksheets/sheet13.xml" ContentType="application/vnd.openxmlformats-officedocument.spreadsheetml.worksheet+xml"/>
  <Override PartName="/xl/charts/chart26.xml" ContentType="application/vnd.openxmlformats-officedocument.drawingml.chart+xml"/>
  <Override PartName="/xl/charts/chart10.xml" ContentType="application/vnd.openxmlformats-officedocument.drawingml.chart+xml"/>
  <Override PartName="/xl/charts/chart4.xml" ContentType="application/vnd.openxmlformats-officedocument.drawingml.chart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charts/chart16.xml" ContentType="application/vnd.openxmlformats-officedocument.drawingml.chart+xml"/>
  <Override PartName="/xl/worksheets/sheet19.xml" ContentType="application/vnd.openxmlformats-officedocument.spreadsheetml.worksheet+xml"/>
  <Override PartName="/xl/worksheets/sheet12.xml" ContentType="application/vnd.openxmlformats-officedocument.spreadsheetml.worksheet+xml"/>
  <Override PartName="/xl/charts/chart25.xml" ContentType="application/vnd.openxmlformats-officedocument.drawingml.chart+xml"/>
  <Override PartName="/xl/worksheets/sheet21.xml" ContentType="application/vnd.openxmlformats-officedocument.spreadsheetml.worksheet+xml"/>
  <Override PartName="/docProps/app.xml" ContentType="application/vnd.openxmlformats-officedocument.extended-properties+xml"/>
  <Override PartName="/xl/drawings/drawing16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worksheets/sheet4.xml" ContentType="application/vnd.openxmlformats-officedocument.spreadsheetml.worksheet+xml"/>
  <Override PartName="/xl/worksheets/sheet18.xml" ContentType="application/vnd.openxmlformats-officedocument.spreadsheetml.workshee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worksheets/sheet11.xml" ContentType="application/vnd.openxmlformats-officedocument.spreadsheetml.worksheet+xml"/>
  <Override PartName="/xl/charts/chart24.xml" ContentType="application/vnd.openxmlformats-officedocument.drawingml.char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worksheets/sheet3.xml" ContentType="application/vnd.openxmlformats-officedocument.spreadsheetml.worksheet+xml"/>
  <Override PartName="/xl/worksheets/sheet17.xml" ContentType="application/vnd.openxmlformats-officedocument.spreadsheetml.workshee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drawings/drawing22.xml" ContentType="application/vnd.openxmlformats-officedocument.drawing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charts/chart23.xml" ContentType="application/vnd.openxmlformats-officedocument.drawingml.chart+xml"/>
  <Default Extension="doc" ContentType="application/msword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charts/chart21.xml" ContentType="application/vnd.openxmlformats-officedocument.drawingml.chart+xml"/>
  <Default Extension="rels" ContentType="application/vnd.openxmlformats-package.relationships+xml"/>
  <Override PartName="/xl/worksheets/sheet16.xml" ContentType="application/vnd.openxmlformats-officedocument.spreadsheetml.worksheet+xml"/>
  <Override PartName="/xl/charts/chart1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checkCompatibility="1" autoCompressPictures="0"/>
  <bookViews>
    <workbookView minimized="1" xWindow="0" yWindow="-20" windowWidth="25440" windowHeight="13180" tabRatio="798" activeTab="5"/>
  </bookViews>
  <sheets>
    <sheet name="rev-hist" sheetId="44" r:id="rId1"/>
    <sheet name="ImC" sheetId="33" r:id="rId2"/>
    <sheet name="Z087" sheetId="53" r:id="rId3"/>
    <sheet name="Y106" sheetId="54" r:id="rId4"/>
    <sheet name="J129" sheetId="55" r:id="rId5"/>
    <sheet name="W149" sheetId="57" r:id="rId6"/>
    <sheet name="H158" sheetId="56" r:id="rId7"/>
    <sheet name="F184" sheetId="58" r:id="rId8"/>
    <sheet name="GRS" sheetId="25" r:id="rId9"/>
    <sheet name="IFU" sheetId="45" r:id="rId10"/>
    <sheet name="CoroImg" sheetId="49" r:id="rId11"/>
    <sheet name="Summary" sheetId="47" r:id="rId12"/>
    <sheet name="cycle4 AFTA filters 2" sheetId="52" r:id="rId13"/>
    <sheet name="filterT" sheetId="51" r:id="rId14"/>
    <sheet name="SWIR data" sheetId="46" r:id="rId15"/>
    <sheet name="new qe" sheetId="36" r:id="rId16"/>
    <sheet name="notes" sheetId="16" r:id="rId17"/>
    <sheet name="pAg_model_chart" sheetId="41" r:id="rId18"/>
    <sheet name="pAg_model_chart (2)" sheetId="50" r:id="rId19"/>
    <sheet name="pAg" sheetId="10" r:id="rId20"/>
    <sheet name="AR sim" sheetId="7" r:id="rId21"/>
    <sheet name="filterlist" sheetId="29" r:id="rId22"/>
    <sheet name="dichroic" sheetId="30" r:id="rId23"/>
    <sheet name="BP filter" sheetId="3" r:id="rId24"/>
    <sheet name="Grism model 1.3-1.867" sheetId="39" r:id="rId25"/>
    <sheet name="Grism model 1.85-2.4" sheetId="48" r:id="rId26"/>
    <sheet name="wavenumber" sheetId="1" r:id="rId27"/>
  </sheets>
  <definedNames>
    <definedName name="a" localSheetId="10">#REF!</definedName>
    <definedName name="a" localSheetId="7">#REF!</definedName>
    <definedName name="a" localSheetId="24">'Grism model 1.3-1.867'!$D$5</definedName>
    <definedName name="a" localSheetId="25">'Grism model 1.85-2.4'!$D$5</definedName>
    <definedName name="a" localSheetId="6">#REF!</definedName>
    <definedName name="a" localSheetId="9">#REF!</definedName>
    <definedName name="a" localSheetId="4">#REF!</definedName>
    <definedName name="a" localSheetId="5">#REF!</definedName>
    <definedName name="a" localSheetId="3">#REF!</definedName>
    <definedName name="a" localSheetId="2">#REF!</definedName>
    <definedName name="a">#REF!</definedName>
    <definedName name="f" localSheetId="10">#REF!</definedName>
    <definedName name="f" localSheetId="7">#REF!</definedName>
    <definedName name="f" localSheetId="24">'Grism model 1.3-1.867'!#REF!</definedName>
    <definedName name="f" localSheetId="25">'Grism model 1.85-2.4'!#REF!</definedName>
    <definedName name="f" localSheetId="6">#REF!</definedName>
    <definedName name="f" localSheetId="9">#REF!</definedName>
    <definedName name="f" localSheetId="4">#REF!</definedName>
    <definedName name="f" localSheetId="5">#REF!</definedName>
    <definedName name="f" localSheetId="3">#REF!</definedName>
    <definedName name="f" localSheetId="2">#REF!</definedName>
    <definedName name="f">#REF!</definedName>
    <definedName name="n" localSheetId="10">#REF!</definedName>
    <definedName name="n" localSheetId="7">#REF!</definedName>
    <definedName name="n" localSheetId="24">'Grism model 1.3-1.867'!$D$4</definedName>
    <definedName name="n" localSheetId="25">'Grism model 1.85-2.4'!$D$4</definedName>
    <definedName name="n" localSheetId="6">#REF!</definedName>
    <definedName name="n" localSheetId="9">#REF!</definedName>
    <definedName name="n" localSheetId="4">#REF!</definedName>
    <definedName name="n" localSheetId="5">#REF!</definedName>
    <definedName name="n" localSheetId="3">#REF!</definedName>
    <definedName name="n" localSheetId="2">#REF!</definedName>
    <definedName name="n">#REF!</definedName>
    <definedName name="p_0" localSheetId="10">#REF!</definedName>
    <definedName name="p_0" localSheetId="7">#REF!</definedName>
    <definedName name="p_0" localSheetId="24">'Grism model 1.3-1.867'!$D$6</definedName>
    <definedName name="p_0" localSheetId="25">'Grism model 1.85-2.4'!$D$6</definedName>
    <definedName name="p_0" localSheetId="6">#REF!</definedName>
    <definedName name="p_0" localSheetId="9">#REF!</definedName>
    <definedName name="p_0" localSheetId="4">#REF!</definedName>
    <definedName name="p_0" localSheetId="5">#REF!</definedName>
    <definedName name="p_0" localSheetId="3">#REF!</definedName>
    <definedName name="p_0" localSheetId="2">#REF!</definedName>
    <definedName name="p_0">#REF!</definedName>
    <definedName name="_xlnm.Print_Area" localSheetId="24">'Grism model 1.3-1.867'!$A$1:$X$93</definedName>
    <definedName name="_xlnm.Print_Area" localSheetId="25">'Grism model 1.85-2.4'!$A$1:$X$93</definedName>
    <definedName name="W" localSheetId="10">#REF!</definedName>
    <definedName name="W" localSheetId="7">#REF!</definedName>
    <definedName name="W" localSheetId="24">'Grism model 1.3-1.867'!#REF!</definedName>
    <definedName name="W" localSheetId="25">'Grism model 1.85-2.4'!#REF!</definedName>
    <definedName name="W" localSheetId="6">#REF!</definedName>
    <definedName name="W" localSheetId="9">#REF!</definedName>
    <definedName name="W" localSheetId="4">#REF!</definedName>
    <definedName name="W" localSheetId="5">#REF!</definedName>
    <definedName name="W" localSheetId="3">#REF!</definedName>
    <definedName name="W" localSheetId="2">#REF!</definedName>
    <definedName name="W">#REF!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2" i="7"/>
  <c r="A14"/>
  <c r="A16"/>
  <c r="A18"/>
  <c r="A20"/>
  <c r="A22"/>
  <c r="A24"/>
  <c r="A26"/>
  <c r="A28"/>
  <c r="A30"/>
  <c r="A32"/>
  <c r="A34"/>
  <c r="A36"/>
  <c r="A38"/>
  <c r="E24"/>
  <c r="E16"/>
  <c r="E12"/>
  <c r="E10"/>
  <c r="V50"/>
  <c r="X50"/>
  <c r="Y52"/>
  <c r="G10"/>
  <c r="F10"/>
  <c r="E11"/>
  <c r="V51"/>
  <c r="X51"/>
  <c r="Y53"/>
  <c r="G12"/>
  <c r="F12"/>
  <c r="F11"/>
  <c r="E14"/>
  <c r="E13"/>
  <c r="V52"/>
  <c r="X52"/>
  <c r="Y54"/>
  <c r="G14"/>
  <c r="F14"/>
  <c r="F13"/>
  <c r="E15"/>
  <c r="U53"/>
  <c r="V53"/>
  <c r="X53"/>
  <c r="Y55"/>
  <c r="G16"/>
  <c r="F16"/>
  <c r="F15"/>
  <c r="E18"/>
  <c r="E17"/>
  <c r="V54"/>
  <c r="X54"/>
  <c r="Y56"/>
  <c r="G18"/>
  <c r="F18"/>
  <c r="F17"/>
  <c r="E20"/>
  <c r="E19"/>
  <c r="F20"/>
  <c r="F19"/>
  <c r="E22"/>
  <c r="E21"/>
  <c r="F22"/>
  <c r="F21"/>
  <c r="E23"/>
  <c r="F24"/>
  <c r="F23"/>
  <c r="E26"/>
  <c r="E25"/>
  <c r="F26"/>
  <c r="F25"/>
  <c r="E28"/>
  <c r="E27"/>
  <c r="F28"/>
  <c r="F27"/>
  <c r="E30"/>
  <c r="E29"/>
  <c r="V60"/>
  <c r="X60"/>
  <c r="Y62"/>
  <c r="G30"/>
  <c r="F30"/>
  <c r="F29"/>
  <c r="E32"/>
  <c r="E31"/>
  <c r="U61"/>
  <c r="V61"/>
  <c r="X61"/>
  <c r="Y63"/>
  <c r="G32"/>
  <c r="F32"/>
  <c r="F31"/>
  <c r="E34"/>
  <c r="E33"/>
  <c r="V62"/>
  <c r="X62"/>
  <c r="Y64"/>
  <c r="G34"/>
  <c r="F34"/>
  <c r="F33"/>
  <c r="E36"/>
  <c r="E35"/>
  <c r="U63"/>
  <c r="V63"/>
  <c r="X63"/>
  <c r="Y65"/>
  <c r="G36"/>
  <c r="F36"/>
  <c r="F35"/>
  <c r="E38"/>
  <c r="E37"/>
  <c r="V64"/>
  <c r="X64"/>
  <c r="Y66"/>
  <c r="G38"/>
  <c r="F38"/>
  <c r="F37"/>
  <c r="D42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8"/>
  <c r="V48"/>
  <c r="X48"/>
  <c r="Y50"/>
  <c r="G8"/>
  <c r="F8"/>
  <c r="D9"/>
  <c r="V49"/>
  <c r="X49"/>
  <c r="Y51"/>
  <c r="G9"/>
  <c r="F9"/>
  <c r="C10"/>
  <c r="D10"/>
  <c r="A11"/>
  <c r="G11"/>
  <c r="C12"/>
  <c r="D12"/>
  <c r="G13"/>
  <c r="C14"/>
  <c r="D14"/>
  <c r="G15"/>
  <c r="C16"/>
  <c r="D16"/>
  <c r="G17"/>
  <c r="C18"/>
  <c r="D18"/>
  <c r="G19"/>
  <c r="C20"/>
  <c r="D20"/>
  <c r="G21"/>
  <c r="C22"/>
  <c r="D22"/>
  <c r="G23"/>
  <c r="C24"/>
  <c r="D24"/>
  <c r="G25"/>
  <c r="C26"/>
  <c r="D26"/>
  <c r="G27"/>
  <c r="C28"/>
  <c r="D28"/>
  <c r="G29"/>
  <c r="C30"/>
  <c r="D30"/>
  <c r="G31"/>
  <c r="C32"/>
  <c r="D32"/>
  <c r="G33"/>
  <c r="C34"/>
  <c r="D34"/>
  <c r="G35"/>
  <c r="C36"/>
  <c r="D36"/>
  <c r="G37"/>
  <c r="C38"/>
  <c r="D38"/>
  <c r="AC39"/>
  <c r="AD39"/>
  <c r="AE39"/>
  <c r="AG39"/>
  <c r="AI39"/>
  <c r="AJ39"/>
  <c r="B40"/>
  <c r="C40"/>
  <c r="G40"/>
  <c r="AC40"/>
  <c r="AD40"/>
  <c r="AE40"/>
  <c r="AG40"/>
  <c r="AI40"/>
  <c r="AJ40"/>
  <c r="AC41"/>
  <c r="AD41"/>
  <c r="AE41"/>
  <c r="AG41"/>
  <c r="AI41"/>
  <c r="AJ41"/>
  <c r="AE42"/>
  <c r="AI42"/>
  <c r="AJ42"/>
  <c r="AE43"/>
  <c r="AI43"/>
  <c r="AE44"/>
  <c r="AI44"/>
  <c r="AE45"/>
  <c r="AI45"/>
  <c r="AE46"/>
  <c r="AG46"/>
  <c r="AI46"/>
  <c r="AJ46"/>
  <c r="AE47"/>
  <c r="U55"/>
  <c r="V55"/>
  <c r="X55"/>
  <c r="V56"/>
  <c r="X56"/>
  <c r="U57"/>
  <c r="V57"/>
  <c r="X57"/>
  <c r="V58"/>
  <c r="X58"/>
  <c r="U59"/>
  <c r="V59"/>
  <c r="X59"/>
  <c r="U65"/>
  <c r="V65"/>
  <c r="X65"/>
  <c r="V66"/>
  <c r="X66"/>
  <c r="X71"/>
  <c r="AG47"/>
  <c r="AI47"/>
  <c r="AJ47"/>
  <c r="W48"/>
  <c r="Z48"/>
  <c r="AE48"/>
  <c r="AI48"/>
  <c r="W49"/>
  <c r="Z49"/>
  <c r="AC49"/>
  <c r="AD49"/>
  <c r="AE49"/>
  <c r="AI49"/>
  <c r="W50"/>
  <c r="Z50"/>
  <c r="T51"/>
  <c r="W51"/>
  <c r="Z51"/>
  <c r="T52"/>
  <c r="W52"/>
  <c r="Z52"/>
  <c r="T53"/>
  <c r="W53"/>
  <c r="Z53"/>
  <c r="T54"/>
  <c r="W54"/>
  <c r="Z54"/>
  <c r="T55"/>
  <c r="W55"/>
  <c r="Z55"/>
  <c r="T56"/>
  <c r="W56"/>
  <c r="Z56"/>
  <c r="T57"/>
  <c r="W57"/>
  <c r="Y57"/>
  <c r="Z57"/>
  <c r="T58"/>
  <c r="W58"/>
  <c r="Y58"/>
  <c r="Z58"/>
  <c r="T59"/>
  <c r="W59"/>
  <c r="Y59"/>
  <c r="Z59"/>
  <c r="AE59"/>
  <c r="AF59"/>
  <c r="T60"/>
  <c r="W60"/>
  <c r="Y60"/>
  <c r="Z60"/>
  <c r="AE60"/>
  <c r="AF60"/>
  <c r="AG60"/>
  <c r="AI60"/>
  <c r="T61"/>
  <c r="W61"/>
  <c r="Y61"/>
  <c r="Z61"/>
  <c r="AE61"/>
  <c r="AF61"/>
  <c r="AG61"/>
  <c r="AI61"/>
  <c r="T62"/>
  <c r="W62"/>
  <c r="Z62"/>
  <c r="AE62"/>
  <c r="AF62"/>
  <c r="AG62"/>
  <c r="AI62"/>
  <c r="T63"/>
  <c r="W63"/>
  <c r="Z63"/>
  <c r="T64"/>
  <c r="W64"/>
  <c r="Z64"/>
  <c r="T65"/>
  <c r="W65"/>
  <c r="Z65"/>
  <c r="T66"/>
  <c r="W66"/>
  <c r="V67"/>
  <c r="X67"/>
  <c r="Z66"/>
  <c r="T67"/>
  <c r="W67"/>
  <c r="Y67"/>
  <c r="V68"/>
  <c r="X68"/>
  <c r="Z67"/>
  <c r="W68"/>
  <c r="Y68"/>
  <c r="U69"/>
  <c r="V69"/>
  <c r="W69"/>
  <c r="X69"/>
  <c r="Y69"/>
  <c r="Z69"/>
  <c r="Z71"/>
  <c r="X72"/>
  <c r="Z72"/>
  <c r="C73"/>
  <c r="U78"/>
  <c r="V78"/>
  <c r="W78"/>
  <c r="U79"/>
  <c r="V79"/>
  <c r="W79"/>
  <c r="U80"/>
  <c r="V80"/>
  <c r="W80"/>
  <c r="V82"/>
  <c r="W82"/>
  <c r="V83"/>
  <c r="W83"/>
  <c r="B74" i="3"/>
  <c r="A13" i="49"/>
  <c r="D9"/>
  <c r="A14"/>
  <c r="A15"/>
  <c r="A16"/>
  <c r="A17"/>
  <c r="A18"/>
  <c r="A19"/>
  <c r="A20"/>
  <c r="A21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AC21"/>
  <c r="E21"/>
  <c r="AB20"/>
  <c r="AA20"/>
  <c r="AC20"/>
  <c r="E20"/>
  <c r="AC19"/>
  <c r="E19"/>
  <c r="AC18"/>
  <c r="E18"/>
  <c r="AC17"/>
  <c r="E17"/>
  <c r="AC16"/>
  <c r="E16"/>
  <c r="AC15"/>
  <c r="E15"/>
  <c r="E14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E13"/>
  <c r="D10"/>
  <c r="N4"/>
  <c r="N5"/>
  <c r="M13"/>
  <c r="C13"/>
  <c r="I14"/>
  <c r="H13"/>
  <c r="D56"/>
  <c r="D55"/>
  <c r="D57"/>
  <c r="D58"/>
  <c r="I13"/>
  <c r="M15"/>
  <c r="C15"/>
  <c r="M14"/>
  <c r="C14"/>
  <c r="H14"/>
  <c r="I15"/>
  <c r="H15"/>
  <c r="M16"/>
  <c r="C16"/>
  <c r="I16"/>
  <c r="H16"/>
  <c r="I17"/>
  <c r="M17"/>
  <c r="C17"/>
  <c r="H17"/>
  <c r="M18"/>
  <c r="C18"/>
  <c r="I18"/>
  <c r="I19"/>
  <c r="M19"/>
  <c r="C19"/>
  <c r="H19"/>
  <c r="H18"/>
  <c r="M20"/>
  <c r="C20"/>
  <c r="H20"/>
  <c r="I20"/>
  <c r="M21"/>
  <c r="C21"/>
  <c r="H21"/>
  <c r="A22"/>
  <c r="I21"/>
  <c r="A23"/>
  <c r="M22"/>
  <c r="C22"/>
  <c r="H22"/>
  <c r="I22"/>
  <c r="M23"/>
  <c r="C23"/>
  <c r="H23"/>
  <c r="I23"/>
  <c r="A24"/>
  <c r="A25"/>
  <c r="M24"/>
  <c r="C24"/>
  <c r="H24"/>
  <c r="I24"/>
  <c r="M25"/>
  <c r="C25"/>
  <c r="H25"/>
  <c r="I25"/>
  <c r="A26"/>
  <c r="A27"/>
  <c r="M26"/>
  <c r="C26"/>
  <c r="H26"/>
  <c r="I26"/>
  <c r="M27"/>
  <c r="C27"/>
  <c r="H27"/>
  <c r="I27"/>
  <c r="A28"/>
  <c r="A29"/>
  <c r="M28"/>
  <c r="C28"/>
  <c r="H28"/>
  <c r="I28"/>
  <c r="M29"/>
  <c r="C29"/>
  <c r="H29"/>
  <c r="I29"/>
  <c r="A30"/>
  <c r="A31"/>
  <c r="M30"/>
  <c r="C30"/>
  <c r="H30"/>
  <c r="I30"/>
  <c r="M31"/>
  <c r="C31"/>
  <c r="H31"/>
  <c r="I31"/>
  <c r="A32"/>
  <c r="A33"/>
  <c r="M32"/>
  <c r="C32"/>
  <c r="H32"/>
  <c r="I32"/>
  <c r="M33"/>
  <c r="C33"/>
  <c r="H33"/>
  <c r="I33"/>
  <c r="A34"/>
  <c r="A35"/>
  <c r="M34"/>
  <c r="C34"/>
  <c r="H34"/>
  <c r="I34"/>
  <c r="M35"/>
  <c r="C35"/>
  <c r="H35"/>
  <c r="I35"/>
  <c r="A36"/>
  <c r="M36"/>
  <c r="C36"/>
  <c r="H36"/>
  <c r="A37"/>
  <c r="I36"/>
  <c r="M37"/>
  <c r="C37"/>
  <c r="H37"/>
  <c r="I37"/>
  <c r="A38"/>
  <c r="M38"/>
  <c r="C38"/>
  <c r="H38"/>
  <c r="A39"/>
  <c r="I38"/>
  <c r="M39"/>
  <c r="C39"/>
  <c r="H39"/>
  <c r="I39"/>
  <c r="A40"/>
  <c r="A41"/>
  <c r="M40"/>
  <c r="C40"/>
  <c r="H40"/>
  <c r="I40"/>
  <c r="M41"/>
  <c r="C41"/>
  <c r="H41"/>
  <c r="I41"/>
  <c r="A42"/>
  <c r="A43"/>
  <c r="M42"/>
  <c r="I42"/>
  <c r="C42"/>
  <c r="H42"/>
  <c r="M43"/>
  <c r="C43"/>
  <c r="H43"/>
  <c r="I43"/>
  <c r="A44"/>
  <c r="M44"/>
  <c r="C44"/>
  <c r="H44"/>
  <c r="A45"/>
  <c r="I44"/>
  <c r="M45"/>
  <c r="C45"/>
  <c r="H45"/>
  <c r="I45"/>
  <c r="A46"/>
  <c r="A47"/>
  <c r="M46"/>
  <c r="C46"/>
  <c r="H46"/>
  <c r="I46"/>
  <c r="M47"/>
  <c r="C47"/>
  <c r="H47"/>
  <c r="I47"/>
  <c r="A48"/>
  <c r="A49"/>
  <c r="M48"/>
  <c r="C48"/>
  <c r="H48"/>
  <c r="I48"/>
  <c r="M49"/>
  <c r="C49"/>
  <c r="H49"/>
  <c r="I49"/>
  <c r="A50"/>
  <c r="A51"/>
  <c r="M50"/>
  <c r="I50"/>
  <c r="C50"/>
  <c r="H50"/>
  <c r="M51"/>
  <c r="C51"/>
  <c r="H51"/>
  <c r="I51"/>
  <c r="A52"/>
  <c r="M52"/>
  <c r="C52"/>
  <c r="H52"/>
  <c r="A53"/>
  <c r="I52"/>
  <c r="M53"/>
  <c r="C53"/>
  <c r="H53"/>
  <c r="I53"/>
  <c r="A54"/>
  <c r="M54"/>
  <c r="C54"/>
  <c r="I54"/>
  <c r="C57"/>
  <c r="C55"/>
  <c r="C56"/>
  <c r="C58"/>
  <c r="H54"/>
  <c r="I58"/>
  <c r="I55"/>
  <c r="I57"/>
  <c r="I56"/>
  <c r="H58"/>
  <c r="H57"/>
  <c r="H56"/>
  <c r="H55"/>
  <c r="B14"/>
  <c r="G14"/>
  <c r="B15"/>
  <c r="G15"/>
  <c r="F15"/>
  <c r="K15"/>
  <c r="B16"/>
  <c r="G16"/>
  <c r="F14"/>
  <c r="K14"/>
  <c r="F16"/>
  <c r="K16"/>
  <c r="B18"/>
  <c r="G18"/>
  <c r="B17"/>
  <c r="G17"/>
  <c r="F18"/>
  <c r="J21"/>
  <c r="J20"/>
  <c r="J19"/>
  <c r="J18"/>
  <c r="K18"/>
  <c r="B19"/>
  <c r="G19"/>
  <c r="B20"/>
  <c r="G20"/>
  <c r="F20"/>
  <c r="K20"/>
  <c r="B21"/>
  <c r="F21"/>
  <c r="K21"/>
  <c r="G21"/>
  <c r="F17"/>
  <c r="K17"/>
  <c r="F19"/>
  <c r="K19"/>
  <c r="AD15"/>
  <c r="J22"/>
  <c r="B22"/>
  <c r="F22"/>
  <c r="K22"/>
  <c r="J23"/>
  <c r="B23"/>
  <c r="G23"/>
  <c r="G22"/>
  <c r="B24"/>
  <c r="F24"/>
  <c r="J24"/>
  <c r="K24"/>
  <c r="F23"/>
  <c r="K23"/>
  <c r="J25"/>
  <c r="B25"/>
  <c r="G25"/>
  <c r="G24"/>
  <c r="B26"/>
  <c r="G26"/>
  <c r="J26"/>
  <c r="F25"/>
  <c r="K25"/>
  <c r="J27"/>
  <c r="B27"/>
  <c r="G27"/>
  <c r="F27"/>
  <c r="K27"/>
  <c r="F26"/>
  <c r="K26"/>
  <c r="AD16"/>
  <c r="J28"/>
  <c r="B28"/>
  <c r="F28"/>
  <c r="K28"/>
  <c r="J29"/>
  <c r="G28"/>
  <c r="B29"/>
  <c r="F29"/>
  <c r="K29"/>
  <c r="B30"/>
  <c r="G30"/>
  <c r="J30"/>
  <c r="G29"/>
  <c r="F30"/>
  <c r="K30"/>
  <c r="J31"/>
  <c r="B31"/>
  <c r="G31"/>
  <c r="B32"/>
  <c r="G32"/>
  <c r="J32"/>
  <c r="F31"/>
  <c r="K31"/>
  <c r="F32"/>
  <c r="K32"/>
  <c r="J33"/>
  <c r="B33"/>
  <c r="F33"/>
  <c r="K33"/>
  <c r="G33"/>
  <c r="B34"/>
  <c r="G34"/>
  <c r="J34"/>
  <c r="J35"/>
  <c r="B35"/>
  <c r="G35"/>
  <c r="B36"/>
  <c r="G36"/>
  <c r="J36"/>
  <c r="F35"/>
  <c r="K35"/>
  <c r="F34"/>
  <c r="K34"/>
  <c r="AD17"/>
  <c r="F36"/>
  <c r="K36"/>
  <c r="J37"/>
  <c r="B37"/>
  <c r="G37"/>
  <c r="F37"/>
  <c r="K37"/>
  <c r="J38"/>
  <c r="B38"/>
  <c r="G38"/>
  <c r="J39"/>
  <c r="F38"/>
  <c r="K38"/>
  <c r="B39"/>
  <c r="F39"/>
  <c r="K39"/>
  <c r="J40"/>
  <c r="B40"/>
  <c r="G40"/>
  <c r="G39"/>
  <c r="F40"/>
  <c r="K40"/>
  <c r="J41"/>
  <c r="B41"/>
  <c r="F41"/>
  <c r="K41"/>
  <c r="B42"/>
  <c r="G42"/>
  <c r="J42"/>
  <c r="G41"/>
  <c r="J43"/>
  <c r="B43"/>
  <c r="G43"/>
  <c r="F42"/>
  <c r="K42"/>
  <c r="B44"/>
  <c r="G44"/>
  <c r="J44"/>
  <c r="F43"/>
  <c r="K43"/>
  <c r="J45"/>
  <c r="B45"/>
  <c r="G45"/>
  <c r="F45"/>
  <c r="K45"/>
  <c r="J46"/>
  <c r="B46"/>
  <c r="G46"/>
  <c r="F46"/>
  <c r="K46"/>
  <c r="J47"/>
  <c r="B47"/>
  <c r="F47"/>
  <c r="K47"/>
  <c r="G47"/>
  <c r="J48"/>
  <c r="F44"/>
  <c r="K44"/>
  <c r="AD18"/>
  <c r="B48"/>
  <c r="F48"/>
  <c r="K48"/>
  <c r="J49"/>
  <c r="G48"/>
  <c r="B49"/>
  <c r="F49"/>
  <c r="K49"/>
  <c r="B50"/>
  <c r="G50"/>
  <c r="J50"/>
  <c r="G49"/>
  <c r="J51"/>
  <c r="B51"/>
  <c r="G51"/>
  <c r="F50"/>
  <c r="K50"/>
  <c r="B52"/>
  <c r="G52"/>
  <c r="J52"/>
  <c r="F51"/>
  <c r="K51"/>
  <c r="F52"/>
  <c r="K52"/>
  <c r="J53"/>
  <c r="B53"/>
  <c r="G53"/>
  <c r="F53"/>
  <c r="K53"/>
  <c r="J54"/>
  <c r="B54"/>
  <c r="G54"/>
  <c r="B13"/>
  <c r="G13"/>
  <c r="G58"/>
  <c r="G56"/>
  <c r="G55"/>
  <c r="G57"/>
  <c r="B55"/>
  <c r="B56"/>
  <c r="B57"/>
  <c r="B58"/>
  <c r="J56"/>
  <c r="J55"/>
  <c r="J58"/>
  <c r="J57"/>
  <c r="F13"/>
  <c r="F54"/>
  <c r="F55"/>
  <c r="F57"/>
  <c r="F56"/>
  <c r="F58"/>
  <c r="K54"/>
  <c r="K13"/>
  <c r="K56"/>
  <c r="K57"/>
  <c r="K55"/>
  <c r="K58"/>
  <c r="AD20"/>
  <c r="AD19"/>
  <c r="AD21"/>
  <c r="G29" i="52"/>
  <c r="F29"/>
  <c r="E29"/>
  <c r="D29"/>
  <c r="C29"/>
  <c r="B29"/>
  <c r="G33"/>
  <c r="F33"/>
  <c r="E33"/>
  <c r="D33"/>
  <c r="C33"/>
  <c r="B33"/>
  <c r="H9"/>
  <c r="H8"/>
  <c r="H7"/>
  <c r="F4"/>
  <c r="F5"/>
  <c r="F6"/>
  <c r="C3"/>
  <c r="B4"/>
  <c r="C4"/>
  <c r="G4"/>
  <c r="B5"/>
  <c r="C5"/>
  <c r="G5"/>
  <c r="B6"/>
  <c r="C6"/>
  <c r="H6"/>
  <c r="H5"/>
  <c r="H4"/>
  <c r="H3"/>
  <c r="A35"/>
  <c r="D19"/>
  <c r="G18"/>
  <c r="E9"/>
  <c r="D9"/>
  <c r="E3"/>
  <c r="D3"/>
  <c r="D4"/>
  <c r="B8"/>
  <c r="A36"/>
  <c r="D8"/>
  <c r="E4"/>
  <c r="G36"/>
  <c r="A37"/>
  <c r="A38"/>
  <c r="G37"/>
  <c r="D5"/>
  <c r="G34"/>
  <c r="G35"/>
  <c r="G38"/>
  <c r="A39"/>
  <c r="E5"/>
  <c r="D34"/>
  <c r="D35"/>
  <c r="D36"/>
  <c r="D37"/>
  <c r="D38"/>
  <c r="A40"/>
  <c r="D39"/>
  <c r="G39"/>
  <c r="G6"/>
  <c r="B7"/>
  <c r="E6"/>
  <c r="D6"/>
  <c r="G40"/>
  <c r="A41"/>
  <c r="D40"/>
  <c r="C37"/>
  <c r="C34"/>
  <c r="C35"/>
  <c r="C36"/>
  <c r="C38"/>
  <c r="C39"/>
  <c r="C40"/>
  <c r="A42"/>
  <c r="B41"/>
  <c r="G41"/>
  <c r="C41"/>
  <c r="E41"/>
  <c r="D41"/>
  <c r="E34"/>
  <c r="E35"/>
  <c r="E36"/>
  <c r="E37"/>
  <c r="E38"/>
  <c r="E39"/>
  <c r="D7"/>
  <c r="E7"/>
  <c r="F7"/>
  <c r="E40"/>
  <c r="G7"/>
  <c r="F41"/>
  <c r="B34"/>
  <c r="B35"/>
  <c r="B36"/>
  <c r="B37"/>
  <c r="B38"/>
  <c r="B39"/>
  <c r="B40"/>
  <c r="F35"/>
  <c r="F34"/>
  <c r="F36"/>
  <c r="F37"/>
  <c r="F38"/>
  <c r="F39"/>
  <c r="F40"/>
  <c r="C42"/>
  <c r="B42"/>
  <c r="F42"/>
  <c r="D42"/>
  <c r="G42"/>
  <c r="A43"/>
  <c r="E42"/>
  <c r="B43"/>
  <c r="D43"/>
  <c r="C43"/>
  <c r="A44"/>
  <c r="G43"/>
  <c r="E43"/>
  <c r="F43"/>
  <c r="C44"/>
  <c r="E44"/>
  <c r="D44"/>
  <c r="F44"/>
  <c r="G44"/>
  <c r="A45"/>
  <c r="B44"/>
  <c r="D45"/>
  <c r="F45"/>
  <c r="E45"/>
  <c r="A46"/>
  <c r="G45"/>
  <c r="C45"/>
  <c r="B45"/>
  <c r="E46"/>
  <c r="G46"/>
  <c r="F46"/>
  <c r="C46"/>
  <c r="D46"/>
  <c r="A47"/>
  <c r="B46"/>
  <c r="F47"/>
  <c r="A48"/>
  <c r="G47"/>
  <c r="E47"/>
  <c r="D47"/>
  <c r="C47"/>
  <c r="B47"/>
  <c r="G48"/>
  <c r="A49"/>
  <c r="C48"/>
  <c r="D48"/>
  <c r="F48"/>
  <c r="B48"/>
  <c r="E48"/>
  <c r="A50"/>
  <c r="B49"/>
  <c r="G49"/>
  <c r="E49"/>
  <c r="D49"/>
  <c r="C49"/>
  <c r="F49"/>
  <c r="C50"/>
  <c r="B50"/>
  <c r="A51"/>
  <c r="D50"/>
  <c r="G50"/>
  <c r="E50"/>
  <c r="F50"/>
  <c r="B51"/>
  <c r="D51"/>
  <c r="C51"/>
  <c r="G51"/>
  <c r="E51"/>
  <c r="A52"/>
  <c r="F51"/>
  <c r="C52"/>
  <c r="E52"/>
  <c r="D52"/>
  <c r="A53"/>
  <c r="G52"/>
  <c r="F52"/>
  <c r="B52"/>
  <c r="E53"/>
  <c r="D53"/>
  <c r="G53"/>
  <c r="F53"/>
  <c r="A54"/>
  <c r="B53"/>
  <c r="C53"/>
  <c r="F54"/>
  <c r="G54"/>
  <c r="A55"/>
  <c r="B54"/>
  <c r="D54"/>
  <c r="C54"/>
  <c r="E54"/>
  <c r="G55"/>
  <c r="B55"/>
  <c r="F55"/>
  <c r="D55"/>
  <c r="C55"/>
  <c r="A56"/>
  <c r="E55"/>
  <c r="A57"/>
  <c r="B56"/>
  <c r="D56"/>
  <c r="C56"/>
  <c r="G56"/>
  <c r="F56"/>
  <c r="E56"/>
  <c r="D57"/>
  <c r="F57"/>
  <c r="E57"/>
  <c r="A58"/>
  <c r="C57"/>
  <c r="B57"/>
  <c r="G57"/>
  <c r="B58"/>
  <c r="F58"/>
  <c r="A59"/>
  <c r="G58"/>
  <c r="C58"/>
  <c r="D58"/>
  <c r="E58"/>
  <c r="C59"/>
  <c r="A60"/>
  <c r="G59"/>
  <c r="F59"/>
  <c r="E59"/>
  <c r="D59"/>
  <c r="B59"/>
  <c r="D60"/>
  <c r="F60"/>
  <c r="C60"/>
  <c r="B60"/>
  <c r="E60"/>
  <c r="G60"/>
  <c r="A61"/>
  <c r="E61"/>
  <c r="G61"/>
  <c r="D61"/>
  <c r="A62"/>
  <c r="F61"/>
  <c r="C61"/>
  <c r="B61"/>
  <c r="F62"/>
  <c r="A63"/>
  <c r="D62"/>
  <c r="C62"/>
  <c r="B62"/>
  <c r="E62"/>
  <c r="G62"/>
  <c r="G63"/>
  <c r="B63"/>
  <c r="D63"/>
  <c r="C63"/>
  <c r="A64"/>
  <c r="F63"/>
  <c r="E63"/>
  <c r="A65"/>
  <c r="B64"/>
  <c r="E64"/>
  <c r="G64"/>
  <c r="F64"/>
  <c r="D64"/>
  <c r="C64"/>
  <c r="C65"/>
  <c r="A66"/>
  <c r="B65"/>
  <c r="D65"/>
  <c r="E65"/>
  <c r="G65"/>
  <c r="F65"/>
  <c r="B66"/>
  <c r="D66"/>
  <c r="E66"/>
  <c r="C66"/>
  <c r="A67"/>
  <c r="G66"/>
  <c r="F66"/>
  <c r="C67"/>
  <c r="E67"/>
  <c r="F67"/>
  <c r="A68"/>
  <c r="G67"/>
  <c r="B67"/>
  <c r="D67"/>
  <c r="D68"/>
  <c r="F68"/>
  <c r="A69"/>
  <c r="G68"/>
  <c r="E68"/>
  <c r="C68"/>
  <c r="B68"/>
  <c r="E69"/>
  <c r="G69"/>
  <c r="B69"/>
  <c r="D69"/>
  <c r="C69"/>
  <c r="A70"/>
  <c r="F69"/>
  <c r="F70"/>
  <c r="A71"/>
  <c r="E70"/>
  <c r="D70"/>
  <c r="G70"/>
  <c r="B70"/>
  <c r="C70"/>
  <c r="G71"/>
  <c r="A72"/>
  <c r="B71"/>
  <c r="F71"/>
  <c r="D71"/>
  <c r="C71"/>
  <c r="E71"/>
  <c r="A73"/>
  <c r="B72"/>
  <c r="C72"/>
  <c r="E72"/>
  <c r="D72"/>
  <c r="G72"/>
  <c r="F72"/>
  <c r="C73"/>
  <c r="F73"/>
  <c r="E73"/>
  <c r="A74"/>
  <c r="G73"/>
  <c r="B73"/>
  <c r="D73"/>
  <c r="B74"/>
  <c r="D74"/>
  <c r="A75"/>
  <c r="G74"/>
  <c r="F74"/>
  <c r="E74"/>
  <c r="C74"/>
  <c r="C75"/>
  <c r="E75"/>
  <c r="B75"/>
  <c r="F75"/>
  <c r="D75"/>
  <c r="A76"/>
  <c r="G75"/>
  <c r="D76"/>
  <c r="F76"/>
  <c r="G76"/>
  <c r="E76"/>
  <c r="A77"/>
  <c r="B76"/>
  <c r="C76"/>
  <c r="E77"/>
  <c r="G77"/>
  <c r="B77"/>
  <c r="A78"/>
  <c r="D77"/>
  <c r="C77"/>
  <c r="F77"/>
  <c r="F78"/>
  <c r="A79"/>
  <c r="C78"/>
  <c r="B78"/>
  <c r="E78"/>
  <c r="D78"/>
  <c r="G78"/>
  <c r="G79"/>
  <c r="F79"/>
  <c r="E79"/>
  <c r="A80"/>
  <c r="C79"/>
  <c r="B79"/>
  <c r="D79"/>
  <c r="A81"/>
  <c r="B80"/>
  <c r="C80"/>
  <c r="G80"/>
  <c r="E80"/>
  <c r="D80"/>
  <c r="F80"/>
  <c r="C81"/>
  <c r="D81"/>
  <c r="B81"/>
  <c r="F81"/>
  <c r="E81"/>
  <c r="A82"/>
  <c r="G81"/>
  <c r="B82"/>
  <c r="D82"/>
  <c r="G82"/>
  <c r="F82"/>
  <c r="A83"/>
  <c r="C82"/>
  <c r="E82"/>
  <c r="C83"/>
  <c r="E83"/>
  <c r="B83"/>
  <c r="A84"/>
  <c r="G83"/>
  <c r="F83"/>
  <c r="D83"/>
  <c r="A85"/>
  <c r="D84"/>
  <c r="F84"/>
  <c r="C84"/>
  <c r="B84"/>
  <c r="G84"/>
  <c r="E84"/>
  <c r="G85"/>
  <c r="F85"/>
  <c r="A86"/>
  <c r="D85"/>
  <c r="C85"/>
  <c r="B85"/>
  <c r="E85"/>
  <c r="A87"/>
  <c r="B86"/>
  <c r="C86"/>
  <c r="D86"/>
  <c r="F86"/>
  <c r="E86"/>
  <c r="G86"/>
  <c r="C87"/>
  <c r="D87"/>
  <c r="F87"/>
  <c r="A88"/>
  <c r="G87"/>
  <c r="E87"/>
  <c r="B87"/>
  <c r="B88"/>
  <c r="D88"/>
  <c r="G88"/>
  <c r="C88"/>
  <c r="F88"/>
  <c r="E88"/>
  <c r="A89"/>
  <c r="C89"/>
  <c r="E89"/>
  <c r="B89"/>
  <c r="A90"/>
  <c r="F89"/>
  <c r="D89"/>
  <c r="G89"/>
  <c r="D90"/>
  <c r="F90"/>
  <c r="C90"/>
  <c r="G90"/>
  <c r="B90"/>
  <c r="A91"/>
  <c r="E90"/>
  <c r="E91"/>
  <c r="G91"/>
  <c r="A92"/>
  <c r="F91"/>
  <c r="D91"/>
  <c r="C91"/>
  <c r="B91"/>
  <c r="F92"/>
  <c r="A93"/>
  <c r="C92"/>
  <c r="D92"/>
  <c r="B92"/>
  <c r="G92"/>
  <c r="E92"/>
  <c r="G93"/>
  <c r="D93"/>
  <c r="F93"/>
  <c r="E93"/>
  <c r="C93"/>
  <c r="B93"/>
  <c r="A94"/>
  <c r="A95"/>
  <c r="B94"/>
  <c r="G94"/>
  <c r="D94"/>
  <c r="C94"/>
  <c r="F94"/>
  <c r="E94"/>
  <c r="C95"/>
  <c r="D95"/>
  <c r="A96"/>
  <c r="G95"/>
  <c r="F95"/>
  <c r="E95"/>
  <c r="B95"/>
  <c r="B96"/>
  <c r="D96"/>
  <c r="E96"/>
  <c r="G96"/>
  <c r="C96"/>
  <c r="A97"/>
  <c r="F96"/>
  <c r="C97"/>
  <c r="E97"/>
  <c r="A98"/>
  <c r="F97"/>
  <c r="D97"/>
  <c r="B97"/>
  <c r="G97"/>
  <c r="D98"/>
  <c r="F98"/>
  <c r="C98"/>
  <c r="E98"/>
  <c r="B98"/>
  <c r="A99"/>
  <c r="G98"/>
  <c r="E99"/>
  <c r="G99"/>
  <c r="D99"/>
  <c r="A100"/>
  <c r="F99"/>
  <c r="C99"/>
  <c r="B99"/>
  <c r="F100"/>
  <c r="A101"/>
  <c r="D100"/>
  <c r="C100"/>
  <c r="G100"/>
  <c r="E100"/>
  <c r="B100"/>
  <c r="G101"/>
  <c r="B101"/>
  <c r="D101"/>
  <c r="F101"/>
  <c r="E101"/>
  <c r="C101"/>
  <c r="A102"/>
  <c r="A103"/>
  <c r="B102"/>
  <c r="E102"/>
  <c r="G102"/>
  <c r="D102"/>
  <c r="C102"/>
  <c r="F102"/>
  <c r="C103"/>
  <c r="A104"/>
  <c r="B103"/>
  <c r="G103"/>
  <c r="F103"/>
  <c r="E103"/>
  <c r="D103"/>
  <c r="B104"/>
  <c r="D104"/>
  <c r="E104"/>
  <c r="F104"/>
  <c r="C104"/>
  <c r="A105"/>
  <c r="G104"/>
  <c r="C105"/>
  <c r="E105"/>
  <c r="F105"/>
  <c r="A106"/>
  <c r="G105"/>
  <c r="D105"/>
  <c r="B105"/>
  <c r="D106"/>
  <c r="F106"/>
  <c r="E106"/>
  <c r="C106"/>
  <c r="A107"/>
  <c r="G106"/>
  <c r="B106"/>
  <c r="E107"/>
  <c r="G107"/>
  <c r="B107"/>
  <c r="D107"/>
  <c r="F107"/>
  <c r="C107"/>
  <c r="A108"/>
  <c r="F108"/>
  <c r="A109"/>
  <c r="E108"/>
  <c r="D108"/>
  <c r="C108"/>
  <c r="B108"/>
  <c r="G108"/>
  <c r="G109"/>
  <c r="B109"/>
  <c r="A110"/>
  <c r="C109"/>
  <c r="F109"/>
  <c r="E109"/>
  <c r="D109"/>
  <c r="A111"/>
  <c r="B110"/>
  <c r="C110"/>
  <c r="E110"/>
  <c r="F110"/>
  <c r="D110"/>
  <c r="G110"/>
  <c r="C111"/>
  <c r="F111"/>
  <c r="A112"/>
  <c r="B111"/>
  <c r="D111"/>
  <c r="E111"/>
  <c r="G111"/>
  <c r="B112"/>
  <c r="D112"/>
  <c r="F112"/>
  <c r="E112"/>
  <c r="C112"/>
  <c r="A113"/>
  <c r="G112"/>
  <c r="C113"/>
  <c r="E113"/>
  <c r="B113"/>
  <c r="F113"/>
  <c r="A114"/>
  <c r="G113"/>
  <c r="D113"/>
  <c r="D114"/>
  <c r="F114"/>
  <c r="G114"/>
  <c r="E114"/>
  <c r="C114"/>
  <c r="B114"/>
  <c r="A115"/>
  <c r="E115"/>
  <c r="G115"/>
  <c r="B115"/>
  <c r="C115"/>
  <c r="A116"/>
  <c r="F115"/>
  <c r="D115"/>
  <c r="F116"/>
  <c r="A117"/>
  <c r="C116"/>
  <c r="E116"/>
  <c r="G116"/>
  <c r="D116"/>
  <c r="B116"/>
  <c r="G117"/>
  <c r="F117"/>
  <c r="C117"/>
  <c r="B117"/>
  <c r="D117"/>
  <c r="A118"/>
  <c r="E117"/>
  <c r="A119"/>
  <c r="B118"/>
  <c r="C118"/>
  <c r="F118"/>
  <c r="E118"/>
  <c r="D118"/>
  <c r="G118"/>
  <c r="C119"/>
  <c r="D119"/>
  <c r="F119"/>
  <c r="B119"/>
  <c r="A120"/>
  <c r="G119"/>
  <c r="E119"/>
  <c r="B120"/>
  <c r="D120"/>
  <c r="G120"/>
  <c r="F120"/>
  <c r="E120"/>
  <c r="C120"/>
  <c r="A121"/>
  <c r="C121"/>
  <c r="E121"/>
  <c r="B121"/>
  <c r="D121"/>
  <c r="G121"/>
  <c r="F121"/>
  <c r="A122"/>
  <c r="D122"/>
  <c r="F122"/>
  <c r="C122"/>
  <c r="G122"/>
  <c r="A123"/>
  <c r="E122"/>
  <c r="B122"/>
  <c r="E123"/>
  <c r="G123"/>
  <c r="A124"/>
  <c r="C123"/>
  <c r="B123"/>
  <c r="D123"/>
  <c r="F123"/>
  <c r="F124"/>
  <c r="A125"/>
  <c r="C124"/>
  <c r="G124"/>
  <c r="E124"/>
  <c r="D124"/>
  <c r="B124"/>
  <c r="G125"/>
  <c r="D125"/>
  <c r="F125"/>
  <c r="C125"/>
  <c r="B125"/>
  <c r="A126"/>
  <c r="E125"/>
  <c r="A127"/>
  <c r="B126"/>
  <c r="G126"/>
  <c r="F126"/>
  <c r="E126"/>
  <c r="D126"/>
  <c r="C126"/>
  <c r="C127"/>
  <c r="D127"/>
  <c r="E127"/>
  <c r="B127"/>
  <c r="F127"/>
  <c r="G127"/>
  <c r="A128"/>
  <c r="B128"/>
  <c r="D128"/>
  <c r="E128"/>
  <c r="G128"/>
  <c r="A129"/>
  <c r="F128"/>
  <c r="C128"/>
  <c r="C129"/>
  <c r="E129"/>
  <c r="A130"/>
  <c r="D129"/>
  <c r="B129"/>
  <c r="F129"/>
  <c r="G129"/>
  <c r="D130"/>
  <c r="F130"/>
  <c r="C130"/>
  <c r="A131"/>
  <c r="G130"/>
  <c r="E130"/>
  <c r="B130"/>
  <c r="E131"/>
  <c r="G131"/>
  <c r="D131"/>
  <c r="A132"/>
  <c r="C131"/>
  <c r="B131"/>
  <c r="F131"/>
  <c r="F132"/>
  <c r="A133"/>
  <c r="G132"/>
  <c r="E132"/>
  <c r="D132"/>
  <c r="C132"/>
  <c r="B132"/>
  <c r="G133"/>
  <c r="B133"/>
  <c r="D133"/>
  <c r="E133"/>
  <c r="C133"/>
  <c r="F133"/>
  <c r="A134"/>
  <c r="A135"/>
  <c r="B134"/>
  <c r="E134"/>
  <c r="G134"/>
  <c r="F134"/>
  <c r="D134"/>
  <c r="C134"/>
  <c r="C135"/>
  <c r="A136"/>
  <c r="B135"/>
  <c r="E135"/>
  <c r="D135"/>
  <c r="G135"/>
  <c r="F135"/>
  <c r="B136"/>
  <c r="D136"/>
  <c r="E136"/>
  <c r="A137"/>
  <c r="G136"/>
  <c r="F136"/>
  <c r="C136"/>
  <c r="C137"/>
  <c r="E137"/>
  <c r="F137"/>
  <c r="A138"/>
  <c r="D137"/>
  <c r="B137"/>
  <c r="G137"/>
  <c r="D138"/>
  <c r="F138"/>
  <c r="A139"/>
  <c r="G138"/>
  <c r="E138"/>
  <c r="B138"/>
  <c r="C138"/>
  <c r="E139"/>
  <c r="G139"/>
  <c r="B139"/>
  <c r="D139"/>
  <c r="F139"/>
  <c r="C139"/>
  <c r="A140"/>
  <c r="F140"/>
  <c r="A141"/>
  <c r="E140"/>
  <c r="G140"/>
  <c r="D140"/>
  <c r="C140"/>
  <c r="B140"/>
  <c r="G141"/>
  <c r="B141"/>
  <c r="C141"/>
  <c r="E141"/>
  <c r="D141"/>
  <c r="A142"/>
  <c r="F141"/>
  <c r="A143"/>
  <c r="B142"/>
  <c r="C142"/>
  <c r="E142"/>
  <c r="G142"/>
  <c r="F142"/>
  <c r="D142"/>
  <c r="C143"/>
  <c r="F143"/>
  <c r="A144"/>
  <c r="B143"/>
  <c r="E143"/>
  <c r="D143"/>
  <c r="G143"/>
  <c r="B144"/>
  <c r="D144"/>
  <c r="A145"/>
  <c r="G144"/>
  <c r="F144"/>
  <c r="C144"/>
  <c r="E144"/>
  <c r="C145"/>
  <c r="E145"/>
  <c r="B145"/>
  <c r="F145"/>
  <c r="G145"/>
  <c r="D145"/>
  <c r="A146"/>
  <c r="D146"/>
  <c r="F146"/>
  <c r="G146"/>
  <c r="A147"/>
  <c r="E146"/>
  <c r="C146"/>
  <c r="B146"/>
  <c r="E147"/>
  <c r="G147"/>
  <c r="B147"/>
  <c r="C147"/>
  <c r="F147"/>
  <c r="D147"/>
  <c r="A148"/>
  <c r="F148"/>
  <c r="A149"/>
  <c r="C148"/>
  <c r="E148"/>
  <c r="G148"/>
  <c r="D148"/>
  <c r="B148"/>
  <c r="G149"/>
  <c r="F149"/>
  <c r="C149"/>
  <c r="B149"/>
  <c r="E149"/>
  <c r="D149"/>
  <c r="A150"/>
  <c r="A151"/>
  <c r="B150"/>
  <c r="C150"/>
  <c r="G150"/>
  <c r="F150"/>
  <c r="E150"/>
  <c r="D150"/>
  <c r="C151"/>
  <c r="D151"/>
  <c r="F151"/>
  <c r="B151"/>
  <c r="G151"/>
  <c r="E151"/>
  <c r="A152"/>
  <c r="B152"/>
  <c r="D152"/>
  <c r="G152"/>
  <c r="A153"/>
  <c r="F152"/>
  <c r="E152"/>
  <c r="C152"/>
  <c r="C153"/>
  <c r="E153"/>
  <c r="B153"/>
  <c r="D153"/>
  <c r="G153"/>
  <c r="F153"/>
  <c r="A154"/>
  <c r="D154"/>
  <c r="F154"/>
  <c r="C154"/>
  <c r="G154"/>
  <c r="A155"/>
  <c r="B154"/>
  <c r="E154"/>
  <c r="E155"/>
  <c r="G155"/>
  <c r="A156"/>
  <c r="C155"/>
  <c r="B155"/>
  <c r="F155"/>
  <c r="D155"/>
  <c r="F156"/>
  <c r="A157"/>
  <c r="C156"/>
  <c r="G156"/>
  <c r="E156"/>
  <c r="B156"/>
  <c r="D156"/>
  <c r="G157"/>
  <c r="D157"/>
  <c r="F157"/>
  <c r="C157"/>
  <c r="B157"/>
  <c r="A158"/>
  <c r="E157"/>
  <c r="A159"/>
  <c r="B158"/>
  <c r="G158"/>
  <c r="F158"/>
  <c r="E158"/>
  <c r="D158"/>
  <c r="C158"/>
  <c r="C159"/>
  <c r="D159"/>
  <c r="E159"/>
  <c r="B159"/>
  <c r="G159"/>
  <c r="F159"/>
  <c r="A160"/>
  <c r="B160"/>
  <c r="D160"/>
  <c r="E160"/>
  <c r="G160"/>
  <c r="A161"/>
  <c r="C160"/>
  <c r="F160"/>
  <c r="C161"/>
  <c r="E161"/>
  <c r="A162"/>
  <c r="D161"/>
  <c r="B161"/>
  <c r="G161"/>
  <c r="F161"/>
  <c r="D162"/>
  <c r="F162"/>
  <c r="C162"/>
  <c r="A163"/>
  <c r="G162"/>
  <c r="E162"/>
  <c r="B162"/>
  <c r="E163"/>
  <c r="G163"/>
  <c r="D163"/>
  <c r="A164"/>
  <c r="C163"/>
  <c r="B163"/>
  <c r="F163"/>
  <c r="F164"/>
  <c r="A165"/>
  <c r="G164"/>
  <c r="B164"/>
  <c r="E164"/>
  <c r="D164"/>
  <c r="C164"/>
  <c r="G165"/>
  <c r="B165"/>
  <c r="D165"/>
  <c r="E165"/>
  <c r="C165"/>
  <c r="A166"/>
  <c r="F165"/>
  <c r="A167"/>
  <c r="B166"/>
  <c r="E166"/>
  <c r="G166"/>
  <c r="C166"/>
  <c r="D166"/>
  <c r="F166"/>
  <c r="C167"/>
  <c r="A168"/>
  <c r="E167"/>
  <c r="D167"/>
  <c r="B167"/>
  <c r="G167"/>
  <c r="F167"/>
  <c r="B168"/>
  <c r="D168"/>
  <c r="E168"/>
  <c r="A169"/>
  <c r="G168"/>
  <c r="F168"/>
  <c r="C168"/>
  <c r="C169"/>
  <c r="E169"/>
  <c r="F169"/>
  <c r="A170"/>
  <c r="D169"/>
  <c r="B169"/>
  <c r="G169"/>
  <c r="D170"/>
  <c r="F170"/>
  <c r="A171"/>
  <c r="B170"/>
  <c r="E170"/>
  <c r="C170"/>
  <c r="G170"/>
  <c r="E171"/>
  <c r="G171"/>
  <c r="B171"/>
  <c r="D171"/>
  <c r="F171"/>
  <c r="C171"/>
  <c r="A172"/>
  <c r="F172"/>
  <c r="A173"/>
  <c r="E172"/>
  <c r="B172"/>
  <c r="G172"/>
  <c r="C172"/>
  <c r="D172"/>
  <c r="G173"/>
  <c r="B173"/>
  <c r="E173"/>
  <c r="D173"/>
  <c r="C173"/>
  <c r="A174"/>
  <c r="F173"/>
  <c r="A175"/>
  <c r="B174"/>
  <c r="C174"/>
  <c r="E174"/>
  <c r="G174"/>
  <c r="F174"/>
  <c r="D174"/>
  <c r="C175"/>
  <c r="F175"/>
  <c r="A176"/>
  <c r="E175"/>
  <c r="D175"/>
  <c r="B175"/>
  <c r="G175"/>
  <c r="B176"/>
  <c r="D176"/>
  <c r="A177"/>
  <c r="C176"/>
  <c r="E176"/>
  <c r="F176"/>
  <c r="G176"/>
  <c r="C177"/>
  <c r="E177"/>
  <c r="B177"/>
  <c r="F177"/>
  <c r="G177"/>
  <c r="D177"/>
  <c r="A178"/>
  <c r="D178"/>
  <c r="F178"/>
  <c r="G178"/>
  <c r="B178"/>
  <c r="A179"/>
  <c r="E178"/>
  <c r="C178"/>
  <c r="E179"/>
  <c r="G179"/>
  <c r="B179"/>
  <c r="F179"/>
  <c r="D179"/>
  <c r="C179"/>
  <c r="A180"/>
  <c r="F180"/>
  <c r="A181"/>
  <c r="C180"/>
  <c r="E180"/>
  <c r="B180"/>
  <c r="G180"/>
  <c r="D180"/>
  <c r="G181"/>
  <c r="F181"/>
  <c r="E181"/>
  <c r="D181"/>
  <c r="C181"/>
  <c r="B181"/>
  <c r="H448" i="30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L5" i="58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L8"/>
  <c r="O4"/>
  <c r="L4"/>
  <c r="I1"/>
  <c r="E3"/>
  <c r="A13"/>
  <c r="E4"/>
  <c r="E7"/>
  <c r="O5"/>
  <c r="N13"/>
  <c r="E13"/>
  <c r="E9"/>
  <c r="A14"/>
  <c r="A15"/>
  <c r="E10"/>
  <c r="E8"/>
  <c r="J13"/>
  <c r="J14"/>
  <c r="N14"/>
  <c r="D14"/>
  <c r="E14"/>
  <c r="D13"/>
  <c r="J15"/>
  <c r="E15"/>
  <c r="A16"/>
  <c r="N15"/>
  <c r="D15"/>
  <c r="I14"/>
  <c r="I13"/>
  <c r="I15"/>
  <c r="A17"/>
  <c r="N16"/>
  <c r="D16"/>
  <c r="E16"/>
  <c r="J16"/>
  <c r="I16"/>
  <c r="J17"/>
  <c r="A18"/>
  <c r="N17"/>
  <c r="D17"/>
  <c r="E17"/>
  <c r="I17"/>
  <c r="N18"/>
  <c r="D18"/>
  <c r="E18"/>
  <c r="A19"/>
  <c r="J18"/>
  <c r="I18"/>
  <c r="A20"/>
  <c r="N19"/>
  <c r="D19"/>
  <c r="J19"/>
  <c r="E19"/>
  <c r="I19"/>
  <c r="J20"/>
  <c r="A21"/>
  <c r="N20"/>
  <c r="D20"/>
  <c r="E20"/>
  <c r="I20"/>
  <c r="A22"/>
  <c r="N21"/>
  <c r="D21"/>
  <c r="E21"/>
  <c r="J21"/>
  <c r="I21"/>
  <c r="J22"/>
  <c r="E22"/>
  <c r="N22"/>
  <c r="D22"/>
  <c r="A23"/>
  <c r="I22"/>
  <c r="J23"/>
  <c r="N23"/>
  <c r="D23"/>
  <c r="A24"/>
  <c r="E23"/>
  <c r="I23"/>
  <c r="A25"/>
  <c r="N24"/>
  <c r="D24"/>
  <c r="E24"/>
  <c r="J24"/>
  <c r="I24"/>
  <c r="J25"/>
  <c r="E25"/>
  <c r="N25"/>
  <c r="D25"/>
  <c r="A26"/>
  <c r="I25"/>
  <c r="N26"/>
  <c r="D26"/>
  <c r="E26"/>
  <c r="J26"/>
  <c r="A27"/>
  <c r="I26"/>
  <c r="A28"/>
  <c r="E27"/>
  <c r="J27"/>
  <c r="N27"/>
  <c r="D27"/>
  <c r="I27"/>
  <c r="J28"/>
  <c r="E28"/>
  <c r="N28"/>
  <c r="D28"/>
  <c r="A29"/>
  <c r="I28"/>
  <c r="A30"/>
  <c r="N29"/>
  <c r="D29"/>
  <c r="E29"/>
  <c r="J29"/>
  <c r="I29"/>
  <c r="E30"/>
  <c r="A31"/>
  <c r="N30"/>
  <c r="D30"/>
  <c r="J30"/>
  <c r="I30"/>
  <c r="J31"/>
  <c r="E31"/>
  <c r="A32"/>
  <c r="N31"/>
  <c r="D31"/>
  <c r="I31"/>
  <c r="A33"/>
  <c r="N32"/>
  <c r="D32"/>
  <c r="E32"/>
  <c r="J32"/>
  <c r="I32"/>
  <c r="J33"/>
  <c r="A34"/>
  <c r="N33"/>
  <c r="D33"/>
  <c r="E33"/>
  <c r="I33"/>
  <c r="N34"/>
  <c r="D34"/>
  <c r="E34"/>
  <c r="A35"/>
  <c r="J34"/>
  <c r="I34"/>
  <c r="A36"/>
  <c r="N35"/>
  <c r="D35"/>
  <c r="J35"/>
  <c r="E35"/>
  <c r="I35"/>
  <c r="J36"/>
  <c r="A37"/>
  <c r="N36"/>
  <c r="D36"/>
  <c r="E36"/>
  <c r="I36"/>
  <c r="A38"/>
  <c r="N37"/>
  <c r="D37"/>
  <c r="E37"/>
  <c r="J37"/>
  <c r="I37"/>
  <c r="J38"/>
  <c r="A39"/>
  <c r="N38"/>
  <c r="D38"/>
  <c r="E38"/>
  <c r="I38"/>
  <c r="J39"/>
  <c r="N39"/>
  <c r="D39"/>
  <c r="E39"/>
  <c r="A40"/>
  <c r="I39"/>
  <c r="A41"/>
  <c r="N40"/>
  <c r="D40"/>
  <c r="E40"/>
  <c r="J40"/>
  <c r="I40"/>
  <c r="J41"/>
  <c r="E41"/>
  <c r="N41"/>
  <c r="D41"/>
  <c r="A42"/>
  <c r="I41"/>
  <c r="N42"/>
  <c r="D42"/>
  <c r="E42"/>
  <c r="J42"/>
  <c r="A43"/>
  <c r="I42"/>
  <c r="N43"/>
  <c r="D43"/>
  <c r="E43"/>
  <c r="A44"/>
  <c r="J43"/>
  <c r="I43"/>
  <c r="J44"/>
  <c r="N44"/>
  <c r="D44"/>
  <c r="E44"/>
  <c r="A45"/>
  <c r="I44"/>
  <c r="A46"/>
  <c r="N45"/>
  <c r="D45"/>
  <c r="E45"/>
  <c r="J45"/>
  <c r="I45"/>
  <c r="A47"/>
  <c r="N46"/>
  <c r="D46"/>
  <c r="J46"/>
  <c r="E46"/>
  <c r="I46"/>
  <c r="J47"/>
  <c r="A48"/>
  <c r="N47"/>
  <c r="D47"/>
  <c r="E47"/>
  <c r="I47"/>
  <c r="A49"/>
  <c r="N48"/>
  <c r="D48"/>
  <c r="E48"/>
  <c r="J48"/>
  <c r="I48"/>
  <c r="J49"/>
  <c r="E49"/>
  <c r="A50"/>
  <c r="N49"/>
  <c r="D49"/>
  <c r="I49"/>
  <c r="N50"/>
  <c r="D50"/>
  <c r="E50"/>
  <c r="J50"/>
  <c r="A51"/>
  <c r="I50"/>
  <c r="A52"/>
  <c r="N51"/>
  <c r="D51"/>
  <c r="E51"/>
  <c r="J51"/>
  <c r="I51"/>
  <c r="J52"/>
  <c r="N52"/>
  <c r="D52"/>
  <c r="E52"/>
  <c r="A53"/>
  <c r="I52"/>
  <c r="A54"/>
  <c r="N53"/>
  <c r="D53"/>
  <c r="E53"/>
  <c r="E54"/>
  <c r="J53"/>
  <c r="I53"/>
  <c r="E56"/>
  <c r="E57"/>
  <c r="E58"/>
  <c r="E55"/>
  <c r="N54"/>
  <c r="D54"/>
  <c r="J54"/>
  <c r="D58"/>
  <c r="D56"/>
  <c r="D55"/>
  <c r="D57"/>
  <c r="I54"/>
  <c r="J55"/>
  <c r="J58"/>
  <c r="J56"/>
  <c r="J57"/>
  <c r="I55"/>
  <c r="I58"/>
  <c r="I57"/>
  <c r="I56"/>
  <c r="C13"/>
  <c r="C14"/>
  <c r="K14"/>
  <c r="K15"/>
  <c r="C15"/>
  <c r="B14"/>
  <c r="G14"/>
  <c r="L14"/>
  <c r="H14"/>
  <c r="C16"/>
  <c r="K16"/>
  <c r="B15"/>
  <c r="H15"/>
  <c r="B16"/>
  <c r="G16"/>
  <c r="L16"/>
  <c r="G15"/>
  <c r="L15"/>
  <c r="H16"/>
  <c r="C17"/>
  <c r="K17"/>
  <c r="K18"/>
  <c r="C18"/>
  <c r="B17"/>
  <c r="H17"/>
  <c r="B18"/>
  <c r="H18"/>
  <c r="G18"/>
  <c r="L18"/>
  <c r="G17"/>
  <c r="L17"/>
  <c r="C19"/>
  <c r="K19"/>
  <c r="B19"/>
  <c r="H19"/>
  <c r="K20"/>
  <c r="C20"/>
  <c r="B20"/>
  <c r="H20"/>
  <c r="G19"/>
  <c r="L19"/>
  <c r="K21"/>
  <c r="C21"/>
  <c r="B21"/>
  <c r="H21"/>
  <c r="G21"/>
  <c r="L21"/>
  <c r="G20"/>
  <c r="L20"/>
  <c r="K22"/>
  <c r="C22"/>
  <c r="B22"/>
  <c r="H22"/>
  <c r="K23"/>
  <c r="C23"/>
  <c r="G22"/>
  <c r="L22"/>
  <c r="B23"/>
  <c r="H23"/>
  <c r="C24"/>
  <c r="K24"/>
  <c r="G23"/>
  <c r="L23"/>
  <c r="B24"/>
  <c r="H24"/>
  <c r="G24"/>
  <c r="L24"/>
  <c r="K25"/>
  <c r="C25"/>
  <c r="B25"/>
  <c r="H25"/>
  <c r="G25"/>
  <c r="L25"/>
  <c r="K26"/>
  <c r="C26"/>
  <c r="B26"/>
  <c r="H26"/>
  <c r="C27"/>
  <c r="K27"/>
  <c r="G26"/>
  <c r="L26"/>
  <c r="B27"/>
  <c r="H27"/>
  <c r="G27"/>
  <c r="L27"/>
  <c r="K28"/>
  <c r="C28"/>
  <c r="B28"/>
  <c r="H28"/>
  <c r="G28"/>
  <c r="L28"/>
  <c r="C29"/>
  <c r="K29"/>
  <c r="B29"/>
  <c r="H29"/>
  <c r="G29"/>
  <c r="L29"/>
  <c r="C30"/>
  <c r="K30"/>
  <c r="B30"/>
  <c r="H30"/>
  <c r="K31"/>
  <c r="C31"/>
  <c r="G30"/>
  <c r="L30"/>
  <c r="B31"/>
  <c r="G31"/>
  <c r="L31"/>
  <c r="H31"/>
  <c r="C32"/>
  <c r="K32"/>
  <c r="B32"/>
  <c r="H32"/>
  <c r="G32"/>
  <c r="L32"/>
  <c r="C33"/>
  <c r="K33"/>
  <c r="B33"/>
  <c r="H33"/>
  <c r="G33"/>
  <c r="L33"/>
  <c r="K34"/>
  <c r="C34"/>
  <c r="B34"/>
  <c r="G34"/>
  <c r="L34"/>
  <c r="C35"/>
  <c r="K35"/>
  <c r="H34"/>
  <c r="B35"/>
  <c r="H35"/>
  <c r="K36"/>
  <c r="C36"/>
  <c r="G35"/>
  <c r="L35"/>
  <c r="B36"/>
  <c r="H36"/>
  <c r="G36"/>
  <c r="L36"/>
  <c r="K37"/>
  <c r="C37"/>
  <c r="B37"/>
  <c r="G37"/>
  <c r="L37"/>
  <c r="H37"/>
  <c r="K38"/>
  <c r="C38"/>
  <c r="B38"/>
  <c r="H38"/>
  <c r="G38"/>
  <c r="L38"/>
  <c r="K39"/>
  <c r="C39"/>
  <c r="B39"/>
  <c r="H39"/>
  <c r="G39"/>
  <c r="L39"/>
  <c r="C40"/>
  <c r="K40"/>
  <c r="B40"/>
  <c r="H40"/>
  <c r="K41"/>
  <c r="C41"/>
  <c r="G40"/>
  <c r="L40"/>
  <c r="B41"/>
  <c r="G41"/>
  <c r="L41"/>
  <c r="H41"/>
  <c r="K42"/>
  <c r="C42"/>
  <c r="B42"/>
  <c r="G42"/>
  <c r="L42"/>
  <c r="H42"/>
  <c r="C43"/>
  <c r="K43"/>
  <c r="B43"/>
  <c r="H43"/>
  <c r="K44"/>
  <c r="C44"/>
  <c r="G43"/>
  <c r="L43"/>
  <c r="B44"/>
  <c r="H44"/>
  <c r="G44"/>
  <c r="L44"/>
  <c r="K45"/>
  <c r="C45"/>
  <c r="B45"/>
  <c r="H45"/>
  <c r="G45"/>
  <c r="L45"/>
  <c r="K46"/>
  <c r="C46"/>
  <c r="B46"/>
  <c r="H46"/>
  <c r="G46"/>
  <c r="L46"/>
  <c r="K47"/>
  <c r="C47"/>
  <c r="B47"/>
  <c r="H47"/>
  <c r="G47"/>
  <c r="L47"/>
  <c r="C48"/>
  <c r="K48"/>
  <c r="B48"/>
  <c r="H48"/>
  <c r="G48"/>
  <c r="L48"/>
  <c r="C49"/>
  <c r="K49"/>
  <c r="B49"/>
  <c r="G49"/>
  <c r="L49"/>
  <c r="H49"/>
  <c r="K50"/>
  <c r="C50"/>
  <c r="B50"/>
  <c r="H50"/>
  <c r="G50"/>
  <c r="L50"/>
  <c r="C51"/>
  <c r="K51"/>
  <c r="B51"/>
  <c r="G51"/>
  <c r="L51"/>
  <c r="H51"/>
  <c r="K52"/>
  <c r="C52"/>
  <c r="B52"/>
  <c r="H52"/>
  <c r="G52"/>
  <c r="L52"/>
  <c r="K53"/>
  <c r="C53"/>
  <c r="B53"/>
  <c r="H53"/>
  <c r="G53"/>
  <c r="L53"/>
  <c r="K54"/>
  <c r="C54"/>
  <c r="B54"/>
  <c r="H54"/>
  <c r="B13"/>
  <c r="H13"/>
  <c r="H57"/>
  <c r="K13"/>
  <c r="K56"/>
  <c r="K57"/>
  <c r="K58"/>
  <c r="K55"/>
  <c r="B55"/>
  <c r="B57"/>
  <c r="B56"/>
  <c r="B58"/>
  <c r="H56"/>
  <c r="H55"/>
  <c r="H58"/>
  <c r="G13"/>
  <c r="G54"/>
  <c r="G58"/>
  <c r="G55"/>
  <c r="G56"/>
  <c r="G57"/>
  <c r="L54"/>
  <c r="L13"/>
  <c r="L58"/>
  <c r="L57"/>
  <c r="L56"/>
  <c r="L55"/>
  <c r="L5" i="29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D15"/>
  <c r="E15"/>
  <c r="F15"/>
  <c r="D16"/>
  <c r="E16"/>
  <c r="F16"/>
  <c r="B17"/>
  <c r="C17"/>
  <c r="E17"/>
  <c r="B18"/>
  <c r="C18"/>
  <c r="E18"/>
  <c r="B19"/>
  <c r="C19"/>
  <c r="E19"/>
  <c r="B20"/>
  <c r="C20"/>
  <c r="E20"/>
  <c r="B21"/>
  <c r="C21"/>
  <c r="E21"/>
  <c r="B22"/>
  <c r="C22"/>
  <c r="E22"/>
  <c r="B23"/>
  <c r="C23"/>
  <c r="E23"/>
  <c r="B24"/>
  <c r="C24"/>
  <c r="E24"/>
  <c r="B25"/>
  <c r="C25"/>
  <c r="E25"/>
  <c r="B26"/>
  <c r="C26"/>
  <c r="E26"/>
  <c r="E27"/>
  <c r="F27"/>
  <c r="E28"/>
  <c r="F28"/>
  <c r="E29"/>
  <c r="F29"/>
  <c r="E30"/>
  <c r="F30"/>
  <c r="E31"/>
  <c r="F31"/>
  <c r="E32"/>
  <c r="F32"/>
  <c r="E33"/>
  <c r="F33"/>
  <c r="E34"/>
  <c r="F34"/>
  <c r="M5" i="39"/>
  <c r="A13"/>
  <c r="A14"/>
  <c r="A15"/>
  <c r="A16"/>
  <c r="A17"/>
  <c r="O17"/>
  <c r="R17"/>
  <c r="T12"/>
  <c r="T13"/>
  <c r="T14"/>
  <c r="T15"/>
  <c r="T16"/>
  <c r="T17"/>
  <c r="U17"/>
  <c r="V17"/>
  <c r="W17"/>
  <c r="P17"/>
  <c r="AA17"/>
  <c r="M6"/>
  <c r="C17"/>
  <c r="A18"/>
  <c r="A19"/>
  <c r="A20"/>
  <c r="A21"/>
  <c r="A22"/>
  <c r="A23"/>
  <c r="A24"/>
  <c r="A25"/>
  <c r="A26"/>
  <c r="A27"/>
  <c r="A28"/>
  <c r="A29"/>
  <c r="A30"/>
  <c r="O30"/>
  <c r="R30"/>
  <c r="T18"/>
  <c r="T19"/>
  <c r="T20"/>
  <c r="T21"/>
  <c r="T22"/>
  <c r="T23"/>
  <c r="T24"/>
  <c r="T25"/>
  <c r="T26"/>
  <c r="T27"/>
  <c r="T28"/>
  <c r="T29"/>
  <c r="T30"/>
  <c r="U30"/>
  <c r="V30"/>
  <c r="W30"/>
  <c r="P30"/>
  <c r="AA30"/>
  <c r="C30"/>
  <c r="U15"/>
  <c r="V15"/>
  <c r="R15"/>
  <c r="W15"/>
  <c r="P15"/>
  <c r="O15"/>
  <c r="U16"/>
  <c r="V16"/>
  <c r="R16"/>
  <c r="W16"/>
  <c r="P16"/>
  <c r="O16"/>
  <c r="U18"/>
  <c r="V18"/>
  <c r="R18"/>
  <c r="W18"/>
  <c r="P18"/>
  <c r="O18"/>
  <c r="U19"/>
  <c r="V19"/>
  <c r="R19"/>
  <c r="W19"/>
  <c r="P19"/>
  <c r="O19"/>
  <c r="U20"/>
  <c r="V20"/>
  <c r="R20"/>
  <c r="W20"/>
  <c r="P20"/>
  <c r="O20"/>
  <c r="U21"/>
  <c r="V21"/>
  <c r="R21"/>
  <c r="W21"/>
  <c r="P21"/>
  <c r="O21"/>
  <c r="U22"/>
  <c r="V22"/>
  <c r="R22"/>
  <c r="W22"/>
  <c r="P22"/>
  <c r="O22"/>
  <c r="U23"/>
  <c r="V23"/>
  <c r="R23"/>
  <c r="W23"/>
  <c r="P23"/>
  <c r="O23"/>
  <c r="U24"/>
  <c r="V24"/>
  <c r="R24"/>
  <c r="W24"/>
  <c r="P24"/>
  <c r="O24"/>
  <c r="U25"/>
  <c r="V25"/>
  <c r="R25"/>
  <c r="W25"/>
  <c r="P25"/>
  <c r="O25"/>
  <c r="U26"/>
  <c r="V26"/>
  <c r="R26"/>
  <c r="W26"/>
  <c r="P26"/>
  <c r="O26"/>
  <c r="U27"/>
  <c r="V27"/>
  <c r="R27"/>
  <c r="W27"/>
  <c r="P27"/>
  <c r="O27"/>
  <c r="U28"/>
  <c r="V28"/>
  <c r="R28"/>
  <c r="W28"/>
  <c r="P28"/>
  <c r="O28"/>
  <c r="U29"/>
  <c r="V29"/>
  <c r="R29"/>
  <c r="W29"/>
  <c r="P29"/>
  <c r="O29"/>
  <c r="T31"/>
  <c r="U31"/>
  <c r="V31"/>
  <c r="A31"/>
  <c r="R31"/>
  <c r="W31"/>
  <c r="P31"/>
  <c r="O31"/>
  <c r="T32"/>
  <c r="U32"/>
  <c r="V32"/>
  <c r="A32"/>
  <c r="R32"/>
  <c r="W32"/>
  <c r="P32"/>
  <c r="O32"/>
  <c r="T33"/>
  <c r="U33"/>
  <c r="V33"/>
  <c r="A33"/>
  <c r="R33"/>
  <c r="W33"/>
  <c r="P33"/>
  <c r="O33"/>
  <c r="T34"/>
  <c r="U34"/>
  <c r="V34"/>
  <c r="A34"/>
  <c r="R34"/>
  <c r="W34"/>
  <c r="P34"/>
  <c r="O34"/>
  <c r="T35"/>
  <c r="U35"/>
  <c r="V35"/>
  <c r="A35"/>
  <c r="R35"/>
  <c r="W35"/>
  <c r="P35"/>
  <c r="O35"/>
  <c r="T36"/>
  <c r="U36"/>
  <c r="V36"/>
  <c r="A36"/>
  <c r="R36"/>
  <c r="W36"/>
  <c r="P36"/>
  <c r="O36"/>
  <c r="T37"/>
  <c r="U37"/>
  <c r="V37"/>
  <c r="A37"/>
  <c r="R37"/>
  <c r="W37"/>
  <c r="P37"/>
  <c r="O37"/>
  <c r="T38"/>
  <c r="U38"/>
  <c r="V38"/>
  <c r="A38"/>
  <c r="R38"/>
  <c r="W38"/>
  <c r="P38"/>
  <c r="O38"/>
  <c r="T39"/>
  <c r="U39"/>
  <c r="V39"/>
  <c r="A39"/>
  <c r="R39"/>
  <c r="W39"/>
  <c r="P39"/>
  <c r="O39"/>
  <c r="T40"/>
  <c r="U40"/>
  <c r="V40"/>
  <c r="A40"/>
  <c r="R40"/>
  <c r="W40"/>
  <c r="P40"/>
  <c r="O40"/>
  <c r="T41"/>
  <c r="U41"/>
  <c r="V41"/>
  <c r="A41"/>
  <c r="R41"/>
  <c r="W41"/>
  <c r="P41"/>
  <c r="O41"/>
  <c r="T42"/>
  <c r="U42"/>
  <c r="V42"/>
  <c r="A42"/>
  <c r="R42"/>
  <c r="W42"/>
  <c r="P42"/>
  <c r="O42"/>
  <c r="AB22"/>
  <c r="D22"/>
  <c r="AB23"/>
  <c r="D23"/>
  <c r="AB25"/>
  <c r="D25"/>
  <c r="AB28"/>
  <c r="D28"/>
  <c r="AB30"/>
  <c r="D30"/>
  <c r="AB33"/>
  <c r="D33"/>
  <c r="AB34"/>
  <c r="D34"/>
  <c r="AB36"/>
  <c r="D36"/>
  <c r="AB39"/>
  <c r="D39"/>
  <c r="AB41"/>
  <c r="D41"/>
  <c r="T43"/>
  <c r="U43"/>
  <c r="V43"/>
  <c r="A43"/>
  <c r="R43"/>
  <c r="W43"/>
  <c r="P43"/>
  <c r="O43"/>
  <c r="T44"/>
  <c r="U44"/>
  <c r="V44"/>
  <c r="A44"/>
  <c r="R44"/>
  <c r="W44"/>
  <c r="P44"/>
  <c r="O44"/>
  <c r="AB44"/>
  <c r="D44"/>
  <c r="T45"/>
  <c r="U45"/>
  <c r="V45"/>
  <c r="A45"/>
  <c r="R45"/>
  <c r="W45"/>
  <c r="P45"/>
  <c r="O45"/>
  <c r="T46"/>
  <c r="U46"/>
  <c r="V46"/>
  <c r="A46"/>
  <c r="R46"/>
  <c r="W46"/>
  <c r="P46"/>
  <c r="O46"/>
  <c r="T47"/>
  <c r="U47"/>
  <c r="V47"/>
  <c r="A47"/>
  <c r="R47"/>
  <c r="W47"/>
  <c r="P47"/>
  <c r="O47"/>
  <c r="T48"/>
  <c r="U48"/>
  <c r="V48"/>
  <c r="A48"/>
  <c r="R48"/>
  <c r="W48"/>
  <c r="P48"/>
  <c r="O48"/>
  <c r="T49"/>
  <c r="U49"/>
  <c r="V49"/>
  <c r="A49"/>
  <c r="R49"/>
  <c r="W49"/>
  <c r="P49"/>
  <c r="O49"/>
  <c r="AB49"/>
  <c r="D49"/>
  <c r="AC21"/>
  <c r="E21"/>
  <c r="AC23"/>
  <c r="E23"/>
  <c r="AC25"/>
  <c r="E25"/>
  <c r="AC26"/>
  <c r="E26"/>
  <c r="AC30"/>
  <c r="E30"/>
  <c r="AC31"/>
  <c r="E31"/>
  <c r="AC36"/>
  <c r="E36"/>
  <c r="AC38"/>
  <c r="E38"/>
  <c r="AC41"/>
  <c r="E41"/>
  <c r="AC42"/>
  <c r="E42"/>
  <c r="AC44"/>
  <c r="E44"/>
  <c r="AC47"/>
  <c r="E47"/>
  <c r="AC49"/>
  <c r="E49"/>
  <c r="AD24"/>
  <c r="F24"/>
  <c r="AD26"/>
  <c r="F26"/>
  <c r="AD28"/>
  <c r="F28"/>
  <c r="AD33"/>
  <c r="F33"/>
  <c r="AD34"/>
  <c r="F34"/>
  <c r="AD36"/>
  <c r="F36"/>
  <c r="AD39"/>
  <c r="F39"/>
  <c r="AD41"/>
  <c r="F41"/>
  <c r="AD44"/>
  <c r="F44"/>
  <c r="AD49"/>
  <c r="F49"/>
  <c r="AE23"/>
  <c r="G23"/>
  <c r="AE25"/>
  <c r="G25"/>
  <c r="AE28"/>
  <c r="G28"/>
  <c r="AE30"/>
  <c r="G30"/>
  <c r="AE31"/>
  <c r="G31"/>
  <c r="AE33"/>
  <c r="G33"/>
  <c r="AE36"/>
  <c r="G36"/>
  <c r="AE39"/>
  <c r="G39"/>
  <c r="AE42"/>
  <c r="G42"/>
  <c r="AE48"/>
  <c r="G48"/>
  <c r="AF21"/>
  <c r="H21"/>
  <c r="AF24"/>
  <c r="H24"/>
  <c r="AF26"/>
  <c r="H26"/>
  <c r="AF29"/>
  <c r="H29"/>
  <c r="AF31"/>
  <c r="H31"/>
  <c r="AF34"/>
  <c r="H34"/>
  <c r="AF39"/>
  <c r="H39"/>
  <c r="AF41"/>
  <c r="H41"/>
  <c r="AF44"/>
  <c r="H44"/>
  <c r="AF46"/>
  <c r="H46"/>
  <c r="AF49"/>
  <c r="H49"/>
  <c r="O12"/>
  <c r="R12"/>
  <c r="U12"/>
  <c r="V12"/>
  <c r="W12"/>
  <c r="P12"/>
  <c r="O13"/>
  <c r="R13"/>
  <c r="Q13"/>
  <c r="U13"/>
  <c r="V13"/>
  <c r="W13"/>
  <c r="P13"/>
  <c r="O14"/>
  <c r="R14"/>
  <c r="U14"/>
  <c r="V14"/>
  <c r="W14"/>
  <c r="P14"/>
  <c r="AR56"/>
  <c r="AH56"/>
  <c r="S55"/>
  <c r="Q55"/>
  <c r="N12"/>
  <c r="M12"/>
  <c r="B12"/>
  <c r="AR11"/>
  <c r="AH11"/>
  <c r="AG11"/>
  <c r="AF11"/>
  <c r="AE11"/>
  <c r="AD11"/>
  <c r="AC11"/>
  <c r="AB11"/>
  <c r="AA11"/>
  <c r="H11"/>
  <c r="G11"/>
  <c r="F11"/>
  <c r="E11"/>
  <c r="D11"/>
  <c r="C11"/>
  <c r="AS10"/>
  <c r="AS56"/>
  <c r="AI10"/>
  <c r="AJ10"/>
  <c r="AJ56"/>
  <c r="AI56"/>
  <c r="AS14"/>
  <c r="AS58"/>
  <c r="AK10"/>
  <c r="AT10"/>
  <c r="AI11"/>
  <c r="AS11"/>
  <c r="X12"/>
  <c r="AJ11"/>
  <c r="AK56"/>
  <c r="AL10"/>
  <c r="AK11"/>
  <c r="AT56"/>
  <c r="AT11"/>
  <c r="AU10"/>
  <c r="AL56"/>
  <c r="AL11"/>
  <c r="AM10"/>
  <c r="AU56"/>
  <c r="AU11"/>
  <c r="AV10"/>
  <c r="AV56"/>
  <c r="AV11"/>
  <c r="AW10"/>
  <c r="AM56"/>
  <c r="AN10"/>
  <c r="AM11"/>
  <c r="AN56"/>
  <c r="AN11"/>
  <c r="AO10"/>
  <c r="AW56"/>
  <c r="AW11"/>
  <c r="AX10"/>
  <c r="AX56"/>
  <c r="AX11"/>
  <c r="AY10"/>
  <c r="AO56"/>
  <c r="AP10"/>
  <c r="AO11"/>
  <c r="AP56"/>
  <c r="AP11"/>
  <c r="AQ10"/>
  <c r="AY56"/>
  <c r="AY11"/>
  <c r="AZ10"/>
  <c r="AQ56"/>
  <c r="AQ11"/>
  <c r="AZ56"/>
  <c r="AZ11"/>
  <c r="BA10"/>
  <c r="BA56"/>
  <c r="BA11"/>
  <c r="BB10"/>
  <c r="BB56"/>
  <c r="BB11"/>
  <c r="BC10"/>
  <c r="BC56"/>
  <c r="BC11"/>
  <c r="BD10"/>
  <c r="BD56"/>
  <c r="BD11"/>
  <c r="BE10"/>
  <c r="BE56"/>
  <c r="BE11"/>
  <c r="BF10"/>
  <c r="BF56"/>
  <c r="BF11"/>
  <c r="BG10"/>
  <c r="BG56"/>
  <c r="BG11"/>
  <c r="BH10"/>
  <c r="BH56"/>
  <c r="BH11"/>
  <c r="BI10"/>
  <c r="BI56"/>
  <c r="BI11"/>
  <c r="T50"/>
  <c r="T51"/>
  <c r="U50"/>
  <c r="V50"/>
  <c r="T52"/>
  <c r="U51"/>
  <c r="V51"/>
  <c r="T53"/>
  <c r="U53"/>
  <c r="V53"/>
  <c r="U52"/>
  <c r="V52"/>
  <c r="B13"/>
  <c r="B14"/>
  <c r="N13"/>
  <c r="M13"/>
  <c r="B15"/>
  <c r="N14"/>
  <c r="M14"/>
  <c r="X13"/>
  <c r="X14"/>
  <c r="M15"/>
  <c r="N15"/>
  <c r="B16"/>
  <c r="X15"/>
  <c r="M16"/>
  <c r="N16"/>
  <c r="B17"/>
  <c r="B18"/>
  <c r="M17"/>
  <c r="N17"/>
  <c r="X16"/>
  <c r="N18"/>
  <c r="M18"/>
  <c r="B19"/>
  <c r="X17"/>
  <c r="N19"/>
  <c r="M19"/>
  <c r="B20"/>
  <c r="X18"/>
  <c r="N20"/>
  <c r="M20"/>
  <c r="X19"/>
  <c r="B21"/>
  <c r="BC20"/>
  <c r="BC64"/>
  <c r="B22"/>
  <c r="X20"/>
  <c r="N21"/>
  <c r="M21"/>
  <c r="B23"/>
  <c r="M22"/>
  <c r="N22"/>
  <c r="X21"/>
  <c r="X22"/>
  <c r="B24"/>
  <c r="M23"/>
  <c r="N23"/>
  <c r="X23"/>
  <c r="B25"/>
  <c r="N24"/>
  <c r="M24"/>
  <c r="X24"/>
  <c r="B26"/>
  <c r="N25"/>
  <c r="M25"/>
  <c r="B27"/>
  <c r="M26"/>
  <c r="N26"/>
  <c r="X25"/>
  <c r="AK25"/>
  <c r="AK70"/>
  <c r="X26"/>
  <c r="M27"/>
  <c r="N27"/>
  <c r="B28"/>
  <c r="B29"/>
  <c r="M28"/>
  <c r="N28"/>
  <c r="X27"/>
  <c r="AI26"/>
  <c r="AI71"/>
  <c r="B30"/>
  <c r="N29"/>
  <c r="M29"/>
  <c r="X28"/>
  <c r="B31"/>
  <c r="X29"/>
  <c r="M30"/>
  <c r="N30"/>
  <c r="X30"/>
  <c r="B32"/>
  <c r="M31"/>
  <c r="N31"/>
  <c r="BE30"/>
  <c r="BE75"/>
  <c r="X31"/>
  <c r="M32"/>
  <c r="N32"/>
  <c r="B33"/>
  <c r="B34"/>
  <c r="X32"/>
  <c r="N33"/>
  <c r="M33"/>
  <c r="M34"/>
  <c r="N34"/>
  <c r="X33"/>
  <c r="B35"/>
  <c r="M35"/>
  <c r="N35"/>
  <c r="B36"/>
  <c r="X34"/>
  <c r="AR33"/>
  <c r="X35"/>
  <c r="M36"/>
  <c r="N36"/>
  <c r="B37"/>
  <c r="B38"/>
  <c r="X36"/>
  <c r="M37"/>
  <c r="N37"/>
  <c r="B39"/>
  <c r="X37"/>
  <c r="N38"/>
  <c r="M38"/>
  <c r="M39"/>
  <c r="N39"/>
  <c r="B40"/>
  <c r="X38"/>
  <c r="X39"/>
  <c r="B41"/>
  <c r="M40"/>
  <c r="N40"/>
  <c r="X40"/>
  <c r="N41"/>
  <c r="M41"/>
  <c r="B42"/>
  <c r="AM39"/>
  <c r="X41"/>
  <c r="B43"/>
  <c r="N42"/>
  <c r="M42"/>
  <c r="N43"/>
  <c r="M43"/>
  <c r="X42"/>
  <c r="B44"/>
  <c r="M44"/>
  <c r="N44"/>
  <c r="X43"/>
  <c r="B45"/>
  <c r="X44"/>
  <c r="B46"/>
  <c r="N45"/>
  <c r="M45"/>
  <c r="BE44"/>
  <c r="B47"/>
  <c r="X45"/>
  <c r="M46"/>
  <c r="N46"/>
  <c r="M47"/>
  <c r="N47"/>
  <c r="X46"/>
  <c r="B48"/>
  <c r="X47"/>
  <c r="M48"/>
  <c r="N48"/>
  <c r="A50"/>
  <c r="B49"/>
  <c r="M49"/>
  <c r="M55"/>
  <c r="N49"/>
  <c r="N55"/>
  <c r="R55"/>
  <c r="AP47"/>
  <c r="O55"/>
  <c r="B50"/>
  <c r="A51"/>
  <c r="O50"/>
  <c r="R50"/>
  <c r="X48"/>
  <c r="AS49"/>
  <c r="M50"/>
  <c r="N50"/>
  <c r="W50"/>
  <c r="P50"/>
  <c r="R51"/>
  <c r="B51"/>
  <c r="A52"/>
  <c r="O51"/>
  <c r="P55"/>
  <c r="X49"/>
  <c r="X50"/>
  <c r="AB50"/>
  <c r="D50"/>
  <c r="B52"/>
  <c r="O52"/>
  <c r="A53"/>
  <c r="R52"/>
  <c r="M51"/>
  <c r="W51"/>
  <c r="N51"/>
  <c r="N52"/>
  <c r="M52"/>
  <c r="W52"/>
  <c r="P52"/>
  <c r="P51"/>
  <c r="X51"/>
  <c r="B53"/>
  <c r="O53"/>
  <c r="R53"/>
  <c r="X52"/>
  <c r="BC51"/>
  <c r="N53"/>
  <c r="W53"/>
  <c r="M53"/>
  <c r="P53"/>
  <c r="X53"/>
  <c r="AV53"/>
  <c r="AO53"/>
  <c r="AS52"/>
  <c r="AI50"/>
  <c r="BG48"/>
  <c r="AV47"/>
  <c r="AJ46"/>
  <c r="AN42"/>
  <c r="AY32"/>
  <c r="AX14"/>
  <c r="AX58"/>
  <c r="AP53"/>
  <c r="AZ53"/>
  <c r="BG51"/>
  <c r="AE52"/>
  <c r="G52"/>
  <c r="AV43"/>
  <c r="BC38"/>
  <c r="AW34"/>
  <c r="AZ22"/>
  <c r="AZ66"/>
  <c r="BA18"/>
  <c r="BA62"/>
  <c r="AU15"/>
  <c r="AU59"/>
  <c r="AT12"/>
  <c r="AT57"/>
  <c r="BB53"/>
  <c r="BA52"/>
  <c r="BH51"/>
  <c r="AS48"/>
  <c r="BE46"/>
  <c r="BC44"/>
  <c r="BG40"/>
  <c r="AP37"/>
  <c r="BH35"/>
  <c r="AX19"/>
  <c r="AX63"/>
  <c r="BF17"/>
  <c r="BE53"/>
  <c r="AQ53"/>
  <c r="AC51"/>
  <c r="E51"/>
  <c r="AG52"/>
  <c r="AJ50"/>
  <c r="AC50"/>
  <c r="E50"/>
  <c r="BA48"/>
  <c r="AN49"/>
  <c r="BA47"/>
  <c r="AU46"/>
  <c r="BG44"/>
  <c r="AG42"/>
  <c r="BD42"/>
  <c r="AJ39"/>
  <c r="AU38"/>
  <c r="AM37"/>
  <c r="AW35"/>
  <c r="BF29"/>
  <c r="BF74"/>
  <c r="BH28"/>
  <c r="BH73"/>
  <c r="AL26"/>
  <c r="AL71"/>
  <c r="AQ22"/>
  <c r="AQ66"/>
  <c r="AW18"/>
  <c r="AW62"/>
  <c r="AQ15"/>
  <c r="AQ59"/>
  <c r="AU13"/>
  <c r="BD53"/>
  <c r="AB53"/>
  <c r="D53"/>
  <c r="AH53"/>
  <c r="AA53"/>
  <c r="C53"/>
  <c r="BG52"/>
  <c r="AW51"/>
  <c r="AO51"/>
  <c r="AF52"/>
  <c r="H52"/>
  <c r="AB52"/>
  <c r="D52"/>
  <c r="AD50"/>
  <c r="F50"/>
  <c r="AV50"/>
  <c r="AL49"/>
  <c r="AJ48"/>
  <c r="BI48"/>
  <c r="AG50"/>
  <c r="BD49"/>
  <c r="AH47"/>
  <c r="AX47"/>
  <c r="AZ46"/>
  <c r="AM46"/>
  <c r="AG45"/>
  <c r="AQ45"/>
  <c r="AG44"/>
  <c r="AW45"/>
  <c r="AH43"/>
  <c r="BI43"/>
  <c r="AU42"/>
  <c r="BG42"/>
  <c r="BB41"/>
  <c r="BI41"/>
  <c r="AZ38"/>
  <c r="BI38"/>
  <c r="BG37"/>
  <c r="BI36"/>
  <c r="AX34"/>
  <c r="AO35"/>
  <c r="AQ33"/>
  <c r="BD32"/>
  <c r="BG31"/>
  <c r="BG76"/>
  <c r="AM30"/>
  <c r="AM75"/>
  <c r="BH29"/>
  <c r="BH74"/>
  <c r="BI28"/>
  <c r="BI73"/>
  <c r="AZ24"/>
  <c r="AZ68"/>
  <c r="AR23"/>
  <c r="AR67"/>
  <c r="AL21"/>
  <c r="AL65"/>
  <c r="AO20"/>
  <c r="AO64"/>
  <c r="AY16"/>
  <c r="AY61"/>
  <c r="AM13"/>
  <c r="AK53"/>
  <c r="BA53"/>
  <c r="BB52"/>
  <c r="BA51"/>
  <c r="AT51"/>
  <c r="BD50"/>
  <c r="AL48"/>
  <c r="AH49"/>
  <c r="AG47"/>
  <c r="BH47"/>
  <c r="AY46"/>
  <c r="BA45"/>
  <c r="BD44"/>
  <c r="AY44"/>
  <c r="AQ43"/>
  <c r="AT40"/>
  <c r="AJ41"/>
  <c r="BI39"/>
  <c r="AK33"/>
  <c r="AR31"/>
  <c r="AR76"/>
  <c r="AP24"/>
  <c r="AP68"/>
  <c r="AK23"/>
  <c r="AK67"/>
  <c r="AZ20"/>
  <c r="AZ64"/>
  <c r="BA17"/>
  <c r="AT14"/>
  <c r="AT58"/>
  <c r="AN53"/>
  <c r="AM53"/>
  <c r="AI53"/>
  <c r="AL53"/>
  <c r="AG53"/>
  <c r="AR52"/>
  <c r="AR51"/>
  <c r="AY51"/>
  <c r="AL52"/>
  <c r="AQ52"/>
  <c r="BD52"/>
  <c r="AU50"/>
  <c r="BG50"/>
  <c r="AI49"/>
  <c r="AV48"/>
  <c r="AX49"/>
  <c r="AT49"/>
  <c r="AK47"/>
  <c r="BF46"/>
  <c r="AX46"/>
  <c r="AL45"/>
  <c r="AI44"/>
  <c r="AN44"/>
  <c r="AK45"/>
  <c r="BA43"/>
  <c r="AO43"/>
  <c r="AX42"/>
  <c r="BH42"/>
  <c r="AR40"/>
  <c r="AY41"/>
  <c r="BG39"/>
  <c r="AJ38"/>
  <c r="BI37"/>
  <c r="AK37"/>
  <c r="BC36"/>
  <c r="BD34"/>
  <c r="AY33"/>
  <c r="AZ31"/>
  <c r="AZ76"/>
  <c r="BF32"/>
  <c r="AV30"/>
  <c r="AV75"/>
  <c r="AP30"/>
  <c r="AP75"/>
  <c r="AW29"/>
  <c r="AW74"/>
  <c r="BA28"/>
  <c r="BA73"/>
  <c r="AL27"/>
  <c r="AL72"/>
  <c r="BG25"/>
  <c r="BG70"/>
  <c r="AB19"/>
  <c r="D19"/>
  <c r="AV16"/>
  <c r="AV60"/>
  <c r="AW13"/>
  <c r="BA15"/>
  <c r="BA59"/>
  <c r="AO16"/>
  <c r="AO61"/>
  <c r="AO17"/>
  <c r="AF18"/>
  <c r="H18"/>
  <c r="AC19"/>
  <c r="E19"/>
  <c r="AJ21"/>
  <c r="AJ65"/>
  <c r="AV21"/>
  <c r="AV65"/>
  <c r="BI23"/>
  <c r="BI67"/>
  <c r="AV23"/>
  <c r="AV67"/>
  <c r="AW24"/>
  <c r="AW68"/>
  <c r="AJ25"/>
  <c r="AJ70"/>
  <c r="AS26"/>
  <c r="AS71"/>
  <c r="BB28"/>
  <c r="BB73"/>
  <c r="AJ29"/>
  <c r="AJ74"/>
  <c r="AY29"/>
  <c r="AY74"/>
  <c r="AQ30"/>
  <c r="AQ75"/>
  <c r="BH32"/>
  <c r="BD31"/>
  <c r="BD76"/>
  <c r="AL31"/>
  <c r="AL76"/>
  <c r="AT32"/>
  <c r="BI32"/>
  <c r="AS33"/>
  <c r="AZ33"/>
  <c r="BC35"/>
  <c r="AP35"/>
  <c r="AJ34"/>
  <c r="BB34"/>
  <c r="AP36"/>
  <c r="AR37"/>
  <c r="AQ37"/>
  <c r="AY38"/>
  <c r="AW38"/>
  <c r="AO39"/>
  <c r="AV41"/>
  <c r="AQ40"/>
  <c r="BC40"/>
  <c r="AS41"/>
  <c r="AQ42"/>
  <c r="AJ42"/>
  <c r="AV42"/>
  <c r="BB43"/>
  <c r="AN43"/>
  <c r="AR43"/>
  <c r="AI43"/>
  <c r="AO45"/>
  <c r="AO44"/>
  <c r="BF44"/>
  <c r="AR44"/>
  <c r="BA44"/>
  <c r="AN45"/>
  <c r="BB45"/>
  <c r="AI45"/>
  <c r="AR46"/>
  <c r="BI46"/>
  <c r="AK46"/>
  <c r="BC46"/>
  <c r="AQ46"/>
  <c r="AQ47"/>
  <c r="BF47"/>
  <c r="AL47"/>
  <c r="AZ49"/>
  <c r="AO49"/>
  <c r="BC49"/>
  <c r="BC48"/>
  <c r="AK48"/>
  <c r="BF48"/>
  <c r="BE48"/>
  <c r="BG49"/>
  <c r="AQ50"/>
  <c r="AR50"/>
  <c r="AT50"/>
  <c r="AP50"/>
  <c r="AP52"/>
  <c r="BF52"/>
  <c r="AH51"/>
  <c r="AK51"/>
  <c r="AM51"/>
  <c r="AV51"/>
  <c r="AL12"/>
  <c r="AL57"/>
  <c r="AY12"/>
  <c r="AY57"/>
  <c r="AI12"/>
  <c r="AI57"/>
  <c r="AN14"/>
  <c r="AN58"/>
  <c r="AI14"/>
  <c r="AI58"/>
  <c r="AQ13"/>
  <c r="BI15"/>
  <c r="BI59"/>
  <c r="AF16"/>
  <c r="H16"/>
  <c r="AU17"/>
  <c r="AQ18"/>
  <c r="AQ62"/>
  <c r="AE18"/>
  <c r="G18"/>
  <c r="AP20"/>
  <c r="AP64"/>
  <c r="BF19"/>
  <c r="BF63"/>
  <c r="AZ21"/>
  <c r="AZ65"/>
  <c r="AV22"/>
  <c r="AV66"/>
  <c r="AR24"/>
  <c r="AR68"/>
  <c r="AV25"/>
  <c r="AV70"/>
  <c r="AN28"/>
  <c r="AN73"/>
  <c r="AJ28"/>
  <c r="AJ73"/>
  <c r="AL30"/>
  <c r="AL75"/>
  <c r="AU29"/>
  <c r="AU74"/>
  <c r="BE29"/>
  <c r="BE74"/>
  <c r="AR30"/>
  <c r="AR75"/>
  <c r="BI30"/>
  <c r="BI75"/>
  <c r="AW32"/>
  <c r="AH31"/>
  <c r="AH76"/>
  <c r="AI33"/>
  <c r="BH33"/>
  <c r="AN35"/>
  <c r="BF34"/>
  <c r="AR34"/>
  <c r="AI35"/>
  <c r="BG36"/>
  <c r="AX36"/>
  <c r="BE37"/>
  <c r="AN37"/>
  <c r="AL37"/>
  <c r="BG38"/>
  <c r="BD38"/>
  <c r="AK39"/>
  <c r="AS39"/>
  <c r="AX40"/>
  <c r="AO40"/>
  <c r="AW40"/>
  <c r="BE42"/>
  <c r="BI42"/>
  <c r="AP42"/>
  <c r="AL43"/>
  <c r="AS43"/>
  <c r="AY43"/>
  <c r="AX43"/>
  <c r="AP45"/>
  <c r="BI45"/>
  <c r="AH44"/>
  <c r="AJ44"/>
  <c r="BI44"/>
  <c r="AR45"/>
  <c r="AT46"/>
  <c r="AG46"/>
  <c r="BD46"/>
  <c r="AU47"/>
  <c r="AY47"/>
  <c r="AM47"/>
  <c r="BF49"/>
  <c r="AG49"/>
  <c r="BE49"/>
  <c r="BD48"/>
  <c r="AQ48"/>
  <c r="AI48"/>
  <c r="AT48"/>
  <c r="BA49"/>
  <c r="AN50"/>
  <c r="BH50"/>
  <c r="BB50"/>
  <c r="AS50"/>
  <c r="AH52"/>
  <c r="AI52"/>
  <c r="AZ52"/>
  <c r="AD51"/>
  <c r="F51"/>
  <c r="AG51"/>
  <c r="AX51"/>
  <c r="AE51"/>
  <c r="G51"/>
  <c r="AK12"/>
  <c r="AK57"/>
  <c r="AB12"/>
  <c r="D12"/>
  <c r="AM12"/>
  <c r="AM57"/>
  <c r="AW12"/>
  <c r="AW57"/>
  <c r="BC12"/>
  <c r="BC57"/>
  <c r="AR12"/>
  <c r="AR57"/>
  <c r="AQ12"/>
  <c r="AQ57"/>
  <c r="AS12"/>
  <c r="AS57"/>
  <c r="AD12"/>
  <c r="F12"/>
  <c r="AB14"/>
  <c r="D14"/>
  <c r="AL14"/>
  <c r="AL58"/>
  <c r="BH14"/>
  <c r="BH58"/>
  <c r="BA14"/>
  <c r="BA58"/>
  <c r="AK14"/>
  <c r="AK58"/>
  <c r="AW14"/>
  <c r="AW58"/>
  <c r="AY14"/>
  <c r="AY58"/>
  <c r="AF14"/>
  <c r="H14"/>
  <c r="AR14"/>
  <c r="AR58"/>
  <c r="AT13"/>
  <c r="BC13"/>
  <c r="AN13"/>
  <c r="BD13"/>
  <c r="AE13"/>
  <c r="G13"/>
  <c r="AI13"/>
  <c r="AB13"/>
  <c r="D13"/>
  <c r="BH13"/>
  <c r="AE15"/>
  <c r="G15"/>
  <c r="AF15"/>
  <c r="H15"/>
  <c r="AC15"/>
  <c r="E15"/>
  <c r="AX15"/>
  <c r="AX59"/>
  <c r="AD16"/>
  <c r="F16"/>
  <c r="BF15"/>
  <c r="BF59"/>
  <c r="BB15"/>
  <c r="BB59"/>
  <c r="AM15"/>
  <c r="AM59"/>
  <c r="AI15"/>
  <c r="AI59"/>
  <c r="AD15"/>
  <c r="F15"/>
  <c r="AN15"/>
  <c r="AN59"/>
  <c r="AY15"/>
  <c r="AY59"/>
  <c r="BI16"/>
  <c r="BI60"/>
  <c r="BH16"/>
  <c r="BH61"/>
  <c r="AN16"/>
  <c r="AN61"/>
  <c r="AC16"/>
  <c r="E16"/>
  <c r="BC16"/>
  <c r="BC60"/>
  <c r="AR16"/>
  <c r="AR61"/>
  <c r="AZ16"/>
  <c r="AZ61"/>
  <c r="AE16"/>
  <c r="G16"/>
  <c r="AG17"/>
  <c r="BE17"/>
  <c r="AQ17"/>
  <c r="AZ17"/>
  <c r="AN17"/>
  <c r="AY17"/>
  <c r="AX17"/>
  <c r="AS17"/>
  <c r="AB17"/>
  <c r="D17"/>
  <c r="AP17"/>
  <c r="AZ18"/>
  <c r="AZ62"/>
  <c r="BG18"/>
  <c r="BG62"/>
  <c r="AX18"/>
  <c r="AX62"/>
  <c r="AH18"/>
  <c r="AH62"/>
  <c r="AK18"/>
  <c r="AK62"/>
  <c r="AP18"/>
  <c r="AP62"/>
  <c r="BE18"/>
  <c r="BE62"/>
  <c r="AD18"/>
  <c r="F18"/>
  <c r="AS18"/>
  <c r="AS62"/>
  <c r="AK20"/>
  <c r="AK64"/>
  <c r="AL20"/>
  <c r="AL64"/>
  <c r="AN20"/>
  <c r="AN64"/>
  <c r="AM20"/>
  <c r="AM64"/>
  <c r="AT20"/>
  <c r="AT64"/>
  <c r="AH21"/>
  <c r="AH65"/>
  <c r="AV19"/>
  <c r="AV63"/>
  <c r="AL19"/>
  <c r="AL63"/>
  <c r="AK19"/>
  <c r="AK63"/>
  <c r="AD19"/>
  <c r="F19"/>
  <c r="AM19"/>
  <c r="AM63"/>
  <c r="AR19"/>
  <c r="AR63"/>
  <c r="BD19"/>
  <c r="BD63"/>
  <c r="BA19"/>
  <c r="BA63"/>
  <c r="AE19"/>
  <c r="G19"/>
  <c r="BE19"/>
  <c r="BE63"/>
  <c r="AT19"/>
  <c r="AT63"/>
  <c r="AQ20"/>
  <c r="AQ64"/>
  <c r="BG20"/>
  <c r="BG64"/>
  <c r="BF20"/>
  <c r="BF64"/>
  <c r="AB20"/>
  <c r="D20"/>
  <c r="AJ20"/>
  <c r="AJ64"/>
  <c r="AT21"/>
  <c r="AT65"/>
  <c r="AG21"/>
  <c r="BH21"/>
  <c r="BH65"/>
  <c r="BC21"/>
  <c r="BC65"/>
  <c r="BI21"/>
  <c r="BI65"/>
  <c r="AY21"/>
  <c r="AY65"/>
  <c r="AK21"/>
  <c r="AK65"/>
  <c r="AO22"/>
  <c r="AO66"/>
  <c r="AU22"/>
  <c r="AU66"/>
  <c r="AX22"/>
  <c r="AX66"/>
  <c r="BB22"/>
  <c r="BB66"/>
  <c r="AR22"/>
  <c r="AR66"/>
  <c r="AK22"/>
  <c r="AK66"/>
  <c r="AM22"/>
  <c r="AM66"/>
  <c r="BE23"/>
  <c r="BE67"/>
  <c r="AH23"/>
  <c r="AH67"/>
  <c r="BD23"/>
  <c r="BD67"/>
  <c r="AG23"/>
  <c r="AO23"/>
  <c r="AO67"/>
  <c r="AM25"/>
  <c r="AM70"/>
  <c r="AN24"/>
  <c r="AN68"/>
  <c r="AS24"/>
  <c r="AS68"/>
  <c r="BB24"/>
  <c r="BB68"/>
  <c r="AJ24"/>
  <c r="AJ68"/>
  <c r="AG24"/>
  <c r="AK24"/>
  <c r="AK68"/>
  <c r="BG24"/>
  <c r="BG68"/>
  <c r="AN25"/>
  <c r="AN70"/>
  <c r="AT25"/>
  <c r="AT70"/>
  <c r="AX25"/>
  <c r="AX70"/>
  <c r="AH25"/>
  <c r="AH70"/>
  <c r="AU25"/>
  <c r="AU70"/>
  <c r="BI25"/>
  <c r="BI70"/>
  <c r="BC25"/>
  <c r="BC70"/>
  <c r="AK26"/>
  <c r="AK71"/>
  <c r="AR26"/>
  <c r="AR71"/>
  <c r="BH26"/>
  <c r="BH71"/>
  <c r="BB26"/>
  <c r="BB71"/>
  <c r="AP26"/>
  <c r="AP71"/>
  <c r="AM26"/>
  <c r="AM71"/>
  <c r="AJ26"/>
  <c r="AJ71"/>
  <c r="AT26"/>
  <c r="AT71"/>
  <c r="AX28"/>
  <c r="AX73"/>
  <c r="AR27"/>
  <c r="AR72"/>
  <c r="AQ27"/>
  <c r="AQ72"/>
  <c r="AM27"/>
  <c r="AM72"/>
  <c r="AY27"/>
  <c r="AY72"/>
  <c r="AT27"/>
  <c r="AT72"/>
  <c r="AZ27"/>
  <c r="AZ72"/>
  <c r="AO27"/>
  <c r="AO72"/>
  <c r="AP27"/>
  <c r="AP72"/>
  <c r="BD27"/>
  <c r="BD72"/>
  <c r="AN27"/>
  <c r="AN72"/>
  <c r="AQ28"/>
  <c r="AQ73"/>
  <c r="AC12"/>
  <c r="E12"/>
  <c r="BA12"/>
  <c r="BA57"/>
  <c r="BD12"/>
  <c r="BD57"/>
  <c r="BE12"/>
  <c r="BE57"/>
  <c r="AF12"/>
  <c r="H12"/>
  <c r="BI12"/>
  <c r="BI57"/>
  <c r="AH12"/>
  <c r="AH57"/>
  <c r="AZ12"/>
  <c r="AZ57"/>
  <c r="AU12"/>
  <c r="AU57"/>
  <c r="AQ14"/>
  <c r="AQ58"/>
  <c r="AM14"/>
  <c r="AM58"/>
  <c r="AG14"/>
  <c r="AV14"/>
  <c r="AV58"/>
  <c r="BD14"/>
  <c r="BD58"/>
  <c r="BF14"/>
  <c r="BF58"/>
  <c r="AH14"/>
  <c r="AH58"/>
  <c r="AC14"/>
  <c r="E14"/>
  <c r="AP14"/>
  <c r="AP58"/>
  <c r="AR13"/>
  <c r="AD13"/>
  <c r="F13"/>
  <c r="BF13"/>
  <c r="AF13"/>
  <c r="H13"/>
  <c r="AJ13"/>
  <c r="AK13"/>
  <c r="AC13"/>
  <c r="E13"/>
  <c r="BE13"/>
  <c r="AY13"/>
  <c r="AS13"/>
  <c r="BE15"/>
  <c r="BE59"/>
  <c r="AV15"/>
  <c r="AV59"/>
  <c r="AO15"/>
  <c r="AO59"/>
  <c r="AL15"/>
  <c r="AL59"/>
  <c r="AK15"/>
  <c r="AK59"/>
  <c r="BD15"/>
  <c r="BD59"/>
  <c r="AJ15"/>
  <c r="AJ59"/>
  <c r="AR15"/>
  <c r="AR59"/>
  <c r="AT15"/>
  <c r="AT59"/>
  <c r="AZ15"/>
  <c r="AZ59"/>
  <c r="AP15"/>
  <c r="AP59"/>
  <c r="AW15"/>
  <c r="AW59"/>
  <c r="BH15"/>
  <c r="BH59"/>
  <c r="BB16"/>
  <c r="BB60"/>
  <c r="BG16"/>
  <c r="AT16"/>
  <c r="AT61"/>
  <c r="AB16"/>
  <c r="D16"/>
  <c r="AS16"/>
  <c r="AS60"/>
  <c r="AU16"/>
  <c r="AU60"/>
  <c r="AQ16"/>
  <c r="AQ60"/>
  <c r="AG16"/>
  <c r="AE17"/>
  <c r="G17"/>
  <c r="BI17"/>
  <c r="AJ17"/>
  <c r="AT17"/>
  <c r="AV17"/>
  <c r="AR17"/>
  <c r="BH17"/>
  <c r="AF17"/>
  <c r="H17"/>
  <c r="AC20"/>
  <c r="E20"/>
  <c r="AG18"/>
  <c r="AY18"/>
  <c r="AY62"/>
  <c r="AR18"/>
  <c r="AR62"/>
  <c r="AC18"/>
  <c r="E18"/>
  <c r="BI18"/>
  <c r="BI62"/>
  <c r="AB18"/>
  <c r="D18"/>
  <c r="AN18"/>
  <c r="AN62"/>
  <c r="AI18"/>
  <c r="AI62"/>
  <c r="BA20"/>
  <c r="BA64"/>
  <c r="BB20"/>
  <c r="BB64"/>
  <c r="AW20"/>
  <c r="AW64"/>
  <c r="BH19"/>
  <c r="BH63"/>
  <c r="AH19"/>
  <c r="AH63"/>
  <c r="AQ19"/>
  <c r="AQ63"/>
  <c r="AU19"/>
  <c r="AU63"/>
  <c r="AW19"/>
  <c r="AW63"/>
  <c r="AO19"/>
  <c r="AO63"/>
  <c r="AZ19"/>
  <c r="AZ63"/>
  <c r="BC19"/>
  <c r="BC63"/>
  <c r="AF19"/>
  <c r="H19"/>
  <c r="BG19"/>
  <c r="BG63"/>
  <c r="AE20"/>
  <c r="G20"/>
  <c r="AG20"/>
  <c r="AV20"/>
  <c r="AV64"/>
  <c r="AR20"/>
  <c r="AR64"/>
  <c r="BB21"/>
  <c r="BB65"/>
  <c r="AO21"/>
  <c r="AO65"/>
  <c r="BA21"/>
  <c r="BA65"/>
  <c r="AP21"/>
  <c r="AP65"/>
  <c r="AQ21"/>
  <c r="AQ65"/>
  <c r="AW21"/>
  <c r="AW65"/>
  <c r="AM21"/>
  <c r="AM65"/>
  <c r="AI21"/>
  <c r="AI65"/>
  <c r="AX21"/>
  <c r="AX65"/>
  <c r="BI22"/>
  <c r="BI66"/>
  <c r="AT22"/>
  <c r="AT66"/>
  <c r="BH22"/>
  <c r="BH66"/>
  <c r="AW22"/>
  <c r="AW66"/>
  <c r="AN22"/>
  <c r="AN66"/>
  <c r="AL23"/>
  <c r="AL67"/>
  <c r="AJ22"/>
  <c r="AJ66"/>
  <c r="AS22"/>
  <c r="AS66"/>
  <c r="AW23"/>
  <c r="AW67"/>
  <c r="AP23"/>
  <c r="AP67"/>
  <c r="AM23"/>
  <c r="AM67"/>
  <c r="BH23"/>
  <c r="BH67"/>
  <c r="AT23"/>
  <c r="AT67"/>
  <c r="AY23"/>
  <c r="AY67"/>
  <c r="AN23"/>
  <c r="AN67"/>
  <c r="BA23"/>
  <c r="BA67"/>
  <c r="AZ23"/>
  <c r="AZ67"/>
  <c r="AY25"/>
  <c r="AY70"/>
  <c r="AR25"/>
  <c r="AR70"/>
  <c r="BH24"/>
  <c r="BH68"/>
  <c r="BF24"/>
  <c r="BF68"/>
  <c r="AX24"/>
  <c r="AX68"/>
  <c r="BD24"/>
  <c r="BD68"/>
  <c r="AL24"/>
  <c r="AL68"/>
  <c r="AO24"/>
  <c r="AO68"/>
  <c r="BE24"/>
  <c r="BE68"/>
  <c r="BH25"/>
  <c r="BH70"/>
  <c r="AQ25"/>
  <c r="AQ70"/>
  <c r="BB25"/>
  <c r="BB70"/>
  <c r="BA25"/>
  <c r="BA70"/>
  <c r="AL25"/>
  <c r="AL70"/>
  <c r="AS25"/>
  <c r="AS70"/>
  <c r="AM28"/>
  <c r="AM73"/>
  <c r="BD26"/>
  <c r="BD71"/>
  <c r="AO26"/>
  <c r="AO71"/>
  <c r="AQ26"/>
  <c r="AQ71"/>
  <c r="AG26"/>
  <c r="AY26"/>
  <c r="AY71"/>
  <c r="BE26"/>
  <c r="BE71"/>
  <c r="AV26"/>
  <c r="AV71"/>
  <c r="BA26"/>
  <c r="BA71"/>
  <c r="AW28"/>
  <c r="AW73"/>
  <c r="AV27"/>
  <c r="AV72"/>
  <c r="AS27"/>
  <c r="AS72"/>
  <c r="BF27"/>
  <c r="BF72"/>
  <c r="AW27"/>
  <c r="AW72"/>
  <c r="BC27"/>
  <c r="BC72"/>
  <c r="BG27"/>
  <c r="BG72"/>
  <c r="BA27"/>
  <c r="BA72"/>
  <c r="BH27"/>
  <c r="BH72"/>
  <c r="AU27"/>
  <c r="AU72"/>
  <c r="AG27"/>
  <c r="AH27"/>
  <c r="AH72"/>
  <c r="AJ27"/>
  <c r="AJ72"/>
  <c r="BE27"/>
  <c r="BE72"/>
  <c r="AV28"/>
  <c r="AV73"/>
  <c r="AH28"/>
  <c r="AH73"/>
  <c r="AU28"/>
  <c r="AU73"/>
  <c r="AJ12"/>
  <c r="AJ57"/>
  <c r="BB12"/>
  <c r="BB57"/>
  <c r="BH12"/>
  <c r="BH57"/>
  <c r="BF12"/>
  <c r="BF57"/>
  <c r="AN12"/>
  <c r="AN57"/>
  <c r="AX12"/>
  <c r="AX57"/>
  <c r="AJ14"/>
  <c r="AJ58"/>
  <c r="BE14"/>
  <c r="BE58"/>
  <c r="AB15"/>
  <c r="D15"/>
  <c r="AO14"/>
  <c r="AO58"/>
  <c r="AD14"/>
  <c r="F14"/>
  <c r="AZ13"/>
  <c r="AG13"/>
  <c r="AX13"/>
  <c r="AV13"/>
  <c r="BG15"/>
  <c r="BG59"/>
  <c r="AH15"/>
  <c r="AH59"/>
  <c r="BD16"/>
  <c r="BD61"/>
  <c r="BA16"/>
  <c r="BA60"/>
  <c r="AJ16"/>
  <c r="AP16"/>
  <c r="AP61"/>
  <c r="AI17"/>
  <c r="AM17"/>
  <c r="BB17"/>
  <c r="BD18"/>
  <c r="BD62"/>
  <c r="AO18"/>
  <c r="AO62"/>
  <c r="BF18"/>
  <c r="BF62"/>
  <c r="AT18"/>
  <c r="AT62"/>
  <c r="AU20"/>
  <c r="AU64"/>
  <c r="AP19"/>
  <c r="AP63"/>
  <c r="AY19"/>
  <c r="AY63"/>
  <c r="AN19"/>
  <c r="AN63"/>
  <c r="AY20"/>
  <c r="AY64"/>
  <c r="AU21"/>
  <c r="AU65"/>
  <c r="AN21"/>
  <c r="AN65"/>
  <c r="BD21"/>
  <c r="BD65"/>
  <c r="AG22"/>
  <c r="AL22"/>
  <c r="AL66"/>
  <c r="AY22"/>
  <c r="AY66"/>
  <c r="AQ23"/>
  <c r="AQ67"/>
  <c r="BF23"/>
  <c r="BF67"/>
  <c r="BB23"/>
  <c r="BB67"/>
  <c r="BE25"/>
  <c r="BE70"/>
  <c r="AW25"/>
  <c r="AW70"/>
  <c r="AU24"/>
  <c r="AU68"/>
  <c r="BI24"/>
  <c r="BI68"/>
  <c r="BC24"/>
  <c r="BC68"/>
  <c r="AY24"/>
  <c r="AY68"/>
  <c r="AG25"/>
  <c r="AZ25"/>
  <c r="AZ70"/>
  <c r="AO25"/>
  <c r="AO70"/>
  <c r="BC26"/>
  <c r="BC71"/>
  <c r="BF26"/>
  <c r="BF71"/>
  <c r="BI26"/>
  <c r="BI71"/>
  <c r="BC28"/>
  <c r="BC73"/>
  <c r="BG28"/>
  <c r="BG73"/>
  <c r="AK27"/>
  <c r="AK72"/>
  <c r="BI27"/>
  <c r="BI72"/>
  <c r="AR28"/>
  <c r="AR73"/>
  <c r="AT28"/>
  <c r="AT73"/>
  <c r="AK28"/>
  <c r="AK73"/>
  <c r="BF28"/>
  <c r="BF73"/>
  <c r="BA30"/>
  <c r="BA75"/>
  <c r="AO29"/>
  <c r="AO74"/>
  <c r="AT29"/>
  <c r="AT74"/>
  <c r="AS29"/>
  <c r="AS74"/>
  <c r="AQ29"/>
  <c r="AQ74"/>
  <c r="BB29"/>
  <c r="BB74"/>
  <c r="AV29"/>
  <c r="AV74"/>
  <c r="AR29"/>
  <c r="AR74"/>
  <c r="AN29"/>
  <c r="AN74"/>
  <c r="AK30"/>
  <c r="AK75"/>
  <c r="AW30"/>
  <c r="AW75"/>
  <c r="AN30"/>
  <c r="AN75"/>
  <c r="BC30"/>
  <c r="BC75"/>
  <c r="AO30"/>
  <c r="AO75"/>
  <c r="AG30"/>
  <c r="AS30"/>
  <c r="AS75"/>
  <c r="BE32"/>
  <c r="BB32"/>
  <c r="AQ31"/>
  <c r="AQ76"/>
  <c r="AU31"/>
  <c r="AU76"/>
  <c r="BE31"/>
  <c r="BE76"/>
  <c r="AT31"/>
  <c r="AT76"/>
  <c r="AI31"/>
  <c r="AI76"/>
  <c r="BI31"/>
  <c r="BI76"/>
  <c r="AX31"/>
  <c r="AX76"/>
  <c r="AG32"/>
  <c r="AN32"/>
  <c r="AS32"/>
  <c r="AT35"/>
  <c r="BI33"/>
  <c r="BB33"/>
  <c r="AH33"/>
  <c r="AL33"/>
  <c r="AU33"/>
  <c r="BF33"/>
  <c r="AU35"/>
  <c r="AL35"/>
  <c r="AR35"/>
  <c r="AQ35"/>
  <c r="BE35"/>
  <c r="BG35"/>
  <c r="AK34"/>
  <c r="AT34"/>
  <c r="AI34"/>
  <c r="AP34"/>
  <c r="BH34"/>
  <c r="AL34"/>
  <c r="AU34"/>
  <c r="AO34"/>
  <c r="AN34"/>
  <c r="AJ35"/>
  <c r="AK35"/>
  <c r="AL36"/>
  <c r="BD36"/>
  <c r="AR36"/>
  <c r="AG36"/>
  <c r="AV36"/>
  <c r="BE36"/>
  <c r="AS36"/>
  <c r="BH37"/>
  <c r="BB37"/>
  <c r="AU37"/>
  <c r="AO37"/>
  <c r="BA37"/>
  <c r="AZ37"/>
  <c r="AR38"/>
  <c r="AV38"/>
  <c r="AP38"/>
  <c r="BA38"/>
  <c r="AH38"/>
  <c r="AQ38"/>
  <c r="AN38"/>
  <c r="AX38"/>
  <c r="AI39"/>
  <c r="BD39"/>
  <c r="AG39"/>
  <c r="AL39"/>
  <c r="BA39"/>
  <c r="AZ39"/>
  <c r="AW39"/>
  <c r="AQ39"/>
  <c r="AR39"/>
  <c r="BE41"/>
  <c r="BH41"/>
  <c r="AO41"/>
  <c r="BD41"/>
  <c r="AZ41"/>
  <c r="AL41"/>
  <c r="AK42"/>
  <c r="BD40"/>
  <c r="BE40"/>
  <c r="AM40"/>
  <c r="BF40"/>
  <c r="AK40"/>
  <c r="AU40"/>
  <c r="AH40"/>
  <c r="BC41"/>
  <c r="AN41"/>
  <c r="BB42"/>
  <c r="AW42"/>
  <c r="AH42"/>
  <c r="AJ43"/>
  <c r="AE12"/>
  <c r="G12"/>
  <c r="AO12"/>
  <c r="AO57"/>
  <c r="AG12"/>
  <c r="AP12"/>
  <c r="AP57"/>
  <c r="BI14"/>
  <c r="BI58"/>
  <c r="BC14"/>
  <c r="BC58"/>
  <c r="BG14"/>
  <c r="BG58"/>
  <c r="AZ14"/>
  <c r="AZ58"/>
  <c r="AL13"/>
  <c r="AO13"/>
  <c r="BI13"/>
  <c r="BA13"/>
  <c r="BC15"/>
  <c r="BC59"/>
  <c r="AS15"/>
  <c r="AS59"/>
  <c r="BE16"/>
  <c r="BE60"/>
  <c r="AX16"/>
  <c r="AX60"/>
  <c r="AH16"/>
  <c r="AH61"/>
  <c r="BF16"/>
  <c r="BF60"/>
  <c r="AD17"/>
  <c r="F17"/>
  <c r="BD17"/>
  <c r="BG17"/>
  <c r="AK17"/>
  <c r="AV18"/>
  <c r="AV62"/>
  <c r="BH18"/>
  <c r="BH62"/>
  <c r="AJ18"/>
  <c r="AJ62"/>
  <c r="AL18"/>
  <c r="AL62"/>
  <c r="AI20"/>
  <c r="AI64"/>
  <c r="BE20"/>
  <c r="BE64"/>
  <c r="BD20"/>
  <c r="BD64"/>
  <c r="BB19"/>
  <c r="BB63"/>
  <c r="AI19"/>
  <c r="AI63"/>
  <c r="AJ19"/>
  <c r="AJ63"/>
  <c r="AX20"/>
  <c r="AX64"/>
  <c r="AR21"/>
  <c r="AR65"/>
  <c r="BF21"/>
  <c r="BF65"/>
  <c r="AS21"/>
  <c r="AS65"/>
  <c r="BE21"/>
  <c r="BE65"/>
  <c r="AP22"/>
  <c r="AP66"/>
  <c r="BF22"/>
  <c r="BF66"/>
  <c r="BC22"/>
  <c r="BC66"/>
  <c r="BG22"/>
  <c r="BG66"/>
  <c r="BC23"/>
  <c r="BC67"/>
  <c r="AX23"/>
  <c r="AX67"/>
  <c r="BG23"/>
  <c r="BG67"/>
  <c r="BF25"/>
  <c r="BF70"/>
  <c r="AI24"/>
  <c r="AI68"/>
  <c r="BA24"/>
  <c r="BA68"/>
  <c r="AQ24"/>
  <c r="AQ68"/>
  <c r="AP25"/>
  <c r="AP70"/>
  <c r="AU26"/>
  <c r="AU71"/>
  <c r="AX26"/>
  <c r="AX71"/>
  <c r="AZ26"/>
  <c r="AZ71"/>
  <c r="BG26"/>
  <c r="BG71"/>
  <c r="AP28"/>
  <c r="AP73"/>
  <c r="AX27"/>
  <c r="AX72"/>
  <c r="BE28"/>
  <c r="BE73"/>
  <c r="AO28"/>
  <c r="AO73"/>
  <c r="AS28"/>
  <c r="AS73"/>
  <c r="AI28"/>
  <c r="AI73"/>
  <c r="AG28"/>
  <c r="AM29"/>
  <c r="AM74"/>
  <c r="AL29"/>
  <c r="AL74"/>
  <c r="BI29"/>
  <c r="BI74"/>
  <c r="AI29"/>
  <c r="AI74"/>
  <c r="BG29"/>
  <c r="BG74"/>
  <c r="AP29"/>
  <c r="AP74"/>
  <c r="BG30"/>
  <c r="BG75"/>
  <c r="AT30"/>
  <c r="AT75"/>
  <c r="BD30"/>
  <c r="BD75"/>
  <c r="AI32"/>
  <c r="AH32"/>
  <c r="AK32"/>
  <c r="AQ32"/>
  <c r="AX32"/>
  <c r="AM31"/>
  <c r="AM76"/>
  <c r="BH31"/>
  <c r="BH76"/>
  <c r="AY31"/>
  <c r="AY76"/>
  <c r="AP31"/>
  <c r="AP76"/>
  <c r="BA31"/>
  <c r="BA76"/>
  <c r="AW31"/>
  <c r="AW76"/>
  <c r="AG31"/>
  <c r="BC32"/>
  <c r="AV32"/>
  <c r="AU32"/>
  <c r="BG32"/>
  <c r="AJ33"/>
  <c r="BG33"/>
  <c r="AV33"/>
  <c r="BE33"/>
  <c r="AT33"/>
  <c r="AW33"/>
  <c r="AS35"/>
  <c r="AM35"/>
  <c r="AZ35"/>
  <c r="BI35"/>
  <c r="AH35"/>
  <c r="AH34"/>
  <c r="BA34"/>
  <c r="AQ34"/>
  <c r="AM34"/>
  <c r="BC34"/>
  <c r="AZ34"/>
  <c r="BI34"/>
  <c r="AW36"/>
  <c r="AN36"/>
  <c r="AY36"/>
  <c r="AT36"/>
  <c r="AQ36"/>
  <c r="BA36"/>
  <c r="BB36"/>
  <c r="AI36"/>
  <c r="AH37"/>
  <c r="BC37"/>
  <c r="AS37"/>
  <c r="AW37"/>
  <c r="BF37"/>
  <c r="AT37"/>
  <c r="BD37"/>
  <c r="AG37"/>
  <c r="AM38"/>
  <c r="BF38"/>
  <c r="AS38"/>
  <c r="AI38"/>
  <c r="BB38"/>
  <c r="AG38"/>
  <c r="AT39"/>
  <c r="AX39"/>
  <c r="BF39"/>
  <c r="AN39"/>
  <c r="BH39"/>
  <c r="AU39"/>
  <c r="AQ41"/>
  <c r="AK41"/>
  <c r="AP41"/>
  <c r="BG41"/>
  <c r="AU41"/>
  <c r="BA40"/>
  <c r="AJ40"/>
  <c r="AZ40"/>
  <c r="AP40"/>
  <c r="BH40"/>
  <c r="BI40"/>
  <c r="AV40"/>
  <c r="AG40"/>
  <c r="AM41"/>
  <c r="AW41"/>
  <c r="AM42"/>
  <c r="AY42"/>
  <c r="AR42"/>
  <c r="BF53"/>
  <c r="BG53"/>
  <c r="BH53"/>
  <c r="AJ53"/>
  <c r="AX53"/>
  <c r="BI53"/>
  <c r="AC53"/>
  <c r="E53"/>
  <c r="AY53"/>
  <c r="AD52"/>
  <c r="F52"/>
  <c r="BC52"/>
  <c r="AU51"/>
  <c r="BF51"/>
  <c r="AB51"/>
  <c r="D51"/>
  <c r="AI51"/>
  <c r="AN51"/>
  <c r="AF51"/>
  <c r="H51"/>
  <c r="BB51"/>
  <c r="BD51"/>
  <c r="AL51"/>
  <c r="AU52"/>
  <c r="AX52"/>
  <c r="AV52"/>
  <c r="AY52"/>
  <c r="AN52"/>
  <c r="BH52"/>
  <c r="AM52"/>
  <c r="BF50"/>
  <c r="BI50"/>
  <c r="AX50"/>
  <c r="AL50"/>
  <c r="AF50"/>
  <c r="H50"/>
  <c r="AM50"/>
  <c r="AK50"/>
  <c r="AO50"/>
  <c r="AE50"/>
  <c r="G50"/>
  <c r="BI49"/>
  <c r="AK49"/>
  <c r="AR48"/>
  <c r="BH48"/>
  <c r="AN48"/>
  <c r="AZ48"/>
  <c r="AU48"/>
  <c r="AX48"/>
  <c r="AH48"/>
  <c r="BB48"/>
  <c r="AR49"/>
  <c r="AV49"/>
  <c r="AQ49"/>
  <c r="AW49"/>
  <c r="AN47"/>
  <c r="AW47"/>
  <c r="AZ47"/>
  <c r="BD47"/>
  <c r="AR47"/>
  <c r="AO47"/>
  <c r="BI47"/>
  <c r="BB46"/>
  <c r="AO46"/>
  <c r="AS46"/>
  <c r="AL46"/>
  <c r="AI46"/>
  <c r="BG46"/>
  <c r="BH46"/>
  <c r="AY45"/>
  <c r="AV45"/>
  <c r="AS45"/>
  <c r="AX45"/>
  <c r="AU44"/>
  <c r="BH44"/>
  <c r="AV44"/>
  <c r="BB44"/>
  <c r="AM44"/>
  <c r="AP44"/>
  <c r="AU45"/>
  <c r="BF45"/>
  <c r="BD45"/>
  <c r="AJ45"/>
  <c r="AG43"/>
  <c r="AZ43"/>
  <c r="AW43"/>
  <c r="BH43"/>
  <c r="BF43"/>
  <c r="AK43"/>
  <c r="AT43"/>
  <c r="AZ42"/>
  <c r="BA42"/>
  <c r="AO42"/>
  <c r="AI42"/>
  <c r="AL42"/>
  <c r="AI41"/>
  <c r="BB40"/>
  <c r="AS40"/>
  <c r="AY40"/>
  <c r="BA41"/>
  <c r="AR41"/>
  <c r="AG41"/>
  <c r="AH39"/>
  <c r="AY39"/>
  <c r="BB39"/>
  <c r="AP39"/>
  <c r="AV39"/>
  <c r="AO38"/>
  <c r="BH38"/>
  <c r="AL38"/>
  <c r="AK38"/>
  <c r="AJ37"/>
  <c r="AV37"/>
  <c r="AZ36"/>
  <c r="AU36"/>
  <c r="AK36"/>
  <c r="AM36"/>
  <c r="BA35"/>
  <c r="BG34"/>
  <c r="AY34"/>
  <c r="AS34"/>
  <c r="BD35"/>
  <c r="AV35"/>
  <c r="BB35"/>
  <c r="AN33"/>
  <c r="BA33"/>
  <c r="BD33"/>
  <c r="AG33"/>
  <c r="AZ32"/>
  <c r="AP32"/>
  <c r="AR32"/>
  <c r="AK31"/>
  <c r="AK76"/>
  <c r="AN31"/>
  <c r="AN76"/>
  <c r="BB31"/>
  <c r="BB76"/>
  <c r="AV31"/>
  <c r="AV76"/>
  <c r="BA32"/>
  <c r="AL32"/>
  <c r="AO32"/>
  <c r="AX30"/>
  <c r="AX75"/>
  <c r="AU30"/>
  <c r="AU75"/>
  <c r="BH30"/>
  <c r="BH75"/>
  <c r="AK29"/>
  <c r="AK74"/>
  <c r="AZ29"/>
  <c r="AZ74"/>
  <c r="BC29"/>
  <c r="BC74"/>
  <c r="AZ28"/>
  <c r="AZ73"/>
  <c r="AY28"/>
  <c r="AY73"/>
  <c r="BD28"/>
  <c r="BD73"/>
  <c r="BB27"/>
  <c r="BB72"/>
  <c r="AH26"/>
  <c r="AH71"/>
  <c r="AW26"/>
  <c r="AW71"/>
  <c r="AH24"/>
  <c r="AH68"/>
  <c r="AT24"/>
  <c r="AT68"/>
  <c r="BD25"/>
  <c r="BD70"/>
  <c r="AU23"/>
  <c r="AU67"/>
  <c r="AS23"/>
  <c r="AS67"/>
  <c r="AH22"/>
  <c r="AH66"/>
  <c r="BE22"/>
  <c r="BE66"/>
  <c r="AI22"/>
  <c r="AI66"/>
  <c r="AH20"/>
  <c r="AH64"/>
  <c r="AS19"/>
  <c r="AS63"/>
  <c r="BH20"/>
  <c r="BH64"/>
  <c r="AF20"/>
  <c r="H20"/>
  <c r="BC18"/>
  <c r="BC62"/>
  <c r="AU18"/>
  <c r="AU62"/>
  <c r="AW17"/>
  <c r="AC17"/>
  <c r="E17"/>
  <c r="AL17"/>
  <c r="AW16"/>
  <c r="AW61"/>
  <c r="AL16"/>
  <c r="AL61"/>
  <c r="AI16"/>
  <c r="AI61"/>
  <c r="AG15"/>
  <c r="AH13"/>
  <c r="BG13"/>
  <c r="BB14"/>
  <c r="BB58"/>
  <c r="AT53"/>
  <c r="AW53"/>
  <c r="AF53"/>
  <c r="H53"/>
  <c r="AE53"/>
  <c r="G53"/>
  <c r="AR53"/>
  <c r="AU53"/>
  <c r="BC53"/>
  <c r="AD53"/>
  <c r="F53"/>
  <c r="AS53"/>
  <c r="AJ52"/>
  <c r="AK52"/>
  <c r="AS51"/>
  <c r="AP51"/>
  <c r="AQ51"/>
  <c r="BI51"/>
  <c r="AJ51"/>
  <c r="AZ51"/>
  <c r="BE51"/>
  <c r="BI52"/>
  <c r="AO52"/>
  <c r="BE52"/>
  <c r="AT52"/>
  <c r="AC52"/>
  <c r="E52"/>
  <c r="AW52"/>
  <c r="BA50"/>
  <c r="AW50"/>
  <c r="AY50"/>
  <c r="AZ50"/>
  <c r="AH50"/>
  <c r="BE50"/>
  <c r="BC50"/>
  <c r="BH49"/>
  <c r="BB49"/>
  <c r="AM48"/>
  <c r="AO48"/>
  <c r="AW48"/>
  <c r="AY48"/>
  <c r="AP48"/>
  <c r="AG48"/>
  <c r="AJ49"/>
  <c r="AM49"/>
  <c r="AP49"/>
  <c r="AY49"/>
  <c r="BC47"/>
  <c r="AI47"/>
  <c r="AT47"/>
  <c r="AS47"/>
  <c r="BB47"/>
  <c r="BE47"/>
  <c r="AJ47"/>
  <c r="BG47"/>
  <c r="AU49"/>
  <c r="AP46"/>
  <c r="BA46"/>
  <c r="AN46"/>
  <c r="AV46"/>
  <c r="AH46"/>
  <c r="AW46"/>
  <c r="BC45"/>
  <c r="AT45"/>
  <c r="AM45"/>
  <c r="BE45"/>
  <c r="AS44"/>
  <c r="AQ44"/>
  <c r="AZ44"/>
  <c r="AT44"/>
  <c r="AL44"/>
  <c r="AK44"/>
  <c r="AW44"/>
  <c r="AX44"/>
  <c r="AZ45"/>
  <c r="BG45"/>
  <c r="BH45"/>
  <c r="AH45"/>
  <c r="AP43"/>
  <c r="BD43"/>
  <c r="AU43"/>
  <c r="BG43"/>
  <c r="BC43"/>
  <c r="AM43"/>
  <c r="BE43"/>
  <c r="AT42"/>
  <c r="AS42"/>
  <c r="BF42"/>
  <c r="BC42"/>
  <c r="AL40"/>
  <c r="AN40"/>
  <c r="AI40"/>
  <c r="AH41"/>
  <c r="BF41"/>
  <c r="AT41"/>
  <c r="AX41"/>
  <c r="BE39"/>
  <c r="BC39"/>
  <c r="BE38"/>
  <c r="AT38"/>
  <c r="AI37"/>
  <c r="AX37"/>
  <c r="AY37"/>
  <c r="AO36"/>
  <c r="AJ36"/>
  <c r="BF36"/>
  <c r="AH36"/>
  <c r="BH36"/>
  <c r="BE34"/>
  <c r="AV34"/>
  <c r="AG34"/>
  <c r="AX35"/>
  <c r="AG35"/>
  <c r="AY35"/>
  <c r="BF35"/>
  <c r="BC33"/>
  <c r="AM33"/>
  <c r="AX33"/>
  <c r="AP33"/>
  <c r="AO33"/>
  <c r="AM32"/>
  <c r="AJ31"/>
  <c r="AJ76"/>
  <c r="AO31"/>
  <c r="AO76"/>
  <c r="BC31"/>
  <c r="BC76"/>
  <c r="BF31"/>
  <c r="BF76"/>
  <c r="AS31"/>
  <c r="AS76"/>
  <c r="AJ32"/>
  <c r="AH30"/>
  <c r="AH75"/>
  <c r="BB30"/>
  <c r="BB75"/>
  <c r="AJ30"/>
  <c r="AJ75"/>
  <c r="BF30"/>
  <c r="BF75"/>
  <c r="AZ30"/>
  <c r="AZ75"/>
  <c r="BA29"/>
  <c r="BA74"/>
  <c r="AX29"/>
  <c r="AX74"/>
  <c r="AG29"/>
  <c r="AH29"/>
  <c r="AH74"/>
  <c r="BD29"/>
  <c r="BD74"/>
  <c r="AI30"/>
  <c r="AI75"/>
  <c r="AY30"/>
  <c r="AY75"/>
  <c r="AL28"/>
  <c r="AL73"/>
  <c r="AI27"/>
  <c r="AI72"/>
  <c r="AN26"/>
  <c r="AN71"/>
  <c r="AI25"/>
  <c r="AI70"/>
  <c r="AM24"/>
  <c r="AM68"/>
  <c r="AV24"/>
  <c r="AV68"/>
  <c r="AJ23"/>
  <c r="AJ67"/>
  <c r="AI23"/>
  <c r="AI67"/>
  <c r="BA22"/>
  <c r="BA66"/>
  <c r="BD22"/>
  <c r="BD66"/>
  <c r="BG21"/>
  <c r="BG65"/>
  <c r="BI20"/>
  <c r="BI64"/>
  <c r="AG19"/>
  <c r="BI19"/>
  <c r="BI63"/>
  <c r="AS20"/>
  <c r="AS64"/>
  <c r="AD20"/>
  <c r="F20"/>
  <c r="AM18"/>
  <c r="AM62"/>
  <c r="BB18"/>
  <c r="BB62"/>
  <c r="AH17"/>
  <c r="BC17"/>
  <c r="AK16"/>
  <c r="AK61"/>
  <c r="AM16"/>
  <c r="AM60"/>
  <c r="AP13"/>
  <c r="BB13"/>
  <c r="AU14"/>
  <c r="AU58"/>
  <c r="AE14"/>
  <c r="G14"/>
  <c r="BG12"/>
  <c r="BG57"/>
  <c r="AV12"/>
  <c r="AV57"/>
  <c r="AJ60"/>
  <c r="AJ61"/>
  <c r="BE61"/>
  <c r="AA26"/>
  <c r="C26"/>
  <c r="AA20"/>
  <c r="C20"/>
  <c r="AR60"/>
  <c r="AI60"/>
  <c r="BD60"/>
  <c r="AA18"/>
  <c r="C18"/>
  <c r="L18"/>
  <c r="K18"/>
  <c r="AA14"/>
  <c r="C14"/>
  <c r="AZ60"/>
  <c r="AO60"/>
  <c r="AA52"/>
  <c r="C52"/>
  <c r="AS61"/>
  <c r="AP60"/>
  <c r="AH60"/>
  <c r="AA46"/>
  <c r="C46"/>
  <c r="AN60"/>
  <c r="BI61"/>
  <c r="AT60"/>
  <c r="AA43"/>
  <c r="C43"/>
  <c r="AK60"/>
  <c r="BH60"/>
  <c r="AL60"/>
  <c r="AA40"/>
  <c r="C40"/>
  <c r="L17"/>
  <c r="K17"/>
  <c r="AA44"/>
  <c r="C44"/>
  <c r="AA21"/>
  <c r="C21"/>
  <c r="AX61"/>
  <c r="AA35"/>
  <c r="C35"/>
  <c r="AA51"/>
  <c r="C51"/>
  <c r="AA28"/>
  <c r="C28"/>
  <c r="BG60"/>
  <c r="BG61"/>
  <c r="AF58"/>
  <c r="BF61"/>
  <c r="AM61"/>
  <c r="AF70"/>
  <c r="AF64"/>
  <c r="AF65"/>
  <c r="AF67"/>
  <c r="AF45"/>
  <c r="H45"/>
  <c r="AF40"/>
  <c r="H40"/>
  <c r="AF35"/>
  <c r="H35"/>
  <c r="AF25"/>
  <c r="H25"/>
  <c r="AE49"/>
  <c r="G49"/>
  <c r="AE43"/>
  <c r="G43"/>
  <c r="AE37"/>
  <c r="G37"/>
  <c r="AE32"/>
  <c r="G32"/>
  <c r="AE26"/>
  <c r="G26"/>
  <c r="AE21"/>
  <c r="G21"/>
  <c r="AD45"/>
  <c r="F45"/>
  <c r="AD40"/>
  <c r="F40"/>
  <c r="AD35"/>
  <c r="F35"/>
  <c r="AD29"/>
  <c r="F29"/>
  <c r="AC48"/>
  <c r="E48"/>
  <c r="AC43"/>
  <c r="E43"/>
  <c r="AC22"/>
  <c r="E22"/>
  <c r="AB45"/>
  <c r="D45"/>
  <c r="AB35"/>
  <c r="D35"/>
  <c r="AB29"/>
  <c r="D29"/>
  <c r="AA49"/>
  <c r="C49"/>
  <c r="AA45"/>
  <c r="C45"/>
  <c r="AA36"/>
  <c r="C36"/>
  <c r="AA31"/>
  <c r="C31"/>
  <c r="AA15"/>
  <c r="C15"/>
  <c r="AF43"/>
  <c r="H43"/>
  <c r="AF38"/>
  <c r="H38"/>
  <c r="AF33"/>
  <c r="H33"/>
  <c r="AF28"/>
  <c r="H28"/>
  <c r="AF23"/>
  <c r="H23"/>
  <c r="AE47"/>
  <c r="G47"/>
  <c r="AE41"/>
  <c r="G41"/>
  <c r="AE35"/>
  <c r="G35"/>
  <c r="AD48"/>
  <c r="F48"/>
  <c r="AD38"/>
  <c r="F38"/>
  <c r="AD23"/>
  <c r="F23"/>
  <c r="AC46"/>
  <c r="E46"/>
  <c r="AC40"/>
  <c r="E40"/>
  <c r="AC35"/>
  <c r="E35"/>
  <c r="AC29"/>
  <c r="E29"/>
  <c r="AB48"/>
  <c r="D48"/>
  <c r="AB43"/>
  <c r="D43"/>
  <c r="AB38"/>
  <c r="D38"/>
  <c r="AB32"/>
  <c r="D32"/>
  <c r="AB27"/>
  <c r="D27"/>
  <c r="AB21"/>
  <c r="D21"/>
  <c r="AA48"/>
  <c r="C48"/>
  <c r="AA39"/>
  <c r="C39"/>
  <c r="AA25"/>
  <c r="C25"/>
  <c r="AA19"/>
  <c r="C19"/>
  <c r="AF48"/>
  <c r="H48"/>
  <c r="AF42"/>
  <c r="H42"/>
  <c r="AF32"/>
  <c r="H32"/>
  <c r="AF22"/>
  <c r="H22"/>
  <c r="AE46"/>
  <c r="G46"/>
  <c r="AE34"/>
  <c r="G34"/>
  <c r="AE29"/>
  <c r="G29"/>
  <c r="AE24"/>
  <c r="G24"/>
  <c r="AD43"/>
  <c r="F43"/>
  <c r="AD37"/>
  <c r="F37"/>
  <c r="AD32"/>
  <c r="F32"/>
  <c r="AD27"/>
  <c r="F27"/>
  <c r="AD22"/>
  <c r="F22"/>
  <c r="AC45"/>
  <c r="E45"/>
  <c r="AC34"/>
  <c r="E34"/>
  <c r="AC24"/>
  <c r="E24"/>
  <c r="AB42"/>
  <c r="D42"/>
  <c r="AB26"/>
  <c r="D26"/>
  <c r="AA38"/>
  <c r="C38"/>
  <c r="AA34"/>
  <c r="C34"/>
  <c r="AA23"/>
  <c r="C23"/>
  <c r="AA13"/>
  <c r="C13"/>
  <c r="AF47"/>
  <c r="H47"/>
  <c r="AF37"/>
  <c r="H37"/>
  <c r="AF27"/>
  <c r="H27"/>
  <c r="AE45"/>
  <c r="G45"/>
  <c r="AE40"/>
  <c r="G40"/>
  <c r="AD47"/>
  <c r="F47"/>
  <c r="AD42"/>
  <c r="F42"/>
  <c r="AD31"/>
  <c r="F31"/>
  <c r="AD21"/>
  <c r="F21"/>
  <c r="AC39"/>
  <c r="E39"/>
  <c r="AC33"/>
  <c r="E33"/>
  <c r="AC28"/>
  <c r="E28"/>
  <c r="AB47"/>
  <c r="D47"/>
  <c r="AB37"/>
  <c r="D37"/>
  <c r="AB31"/>
  <c r="D31"/>
  <c r="AA50"/>
  <c r="C50"/>
  <c r="AA47"/>
  <c r="C47"/>
  <c r="AA42"/>
  <c r="C42"/>
  <c r="AA29"/>
  <c r="C29"/>
  <c r="AA22"/>
  <c r="C22"/>
  <c r="AF36"/>
  <c r="H36"/>
  <c r="AF30"/>
  <c r="H30"/>
  <c r="AE44"/>
  <c r="G44"/>
  <c r="AE38"/>
  <c r="G38"/>
  <c r="AE27"/>
  <c r="G27"/>
  <c r="AE22"/>
  <c r="G22"/>
  <c r="AD46"/>
  <c r="F46"/>
  <c r="AD30"/>
  <c r="F30"/>
  <c r="AD25"/>
  <c r="F25"/>
  <c r="AC37"/>
  <c r="E37"/>
  <c r="AC32"/>
  <c r="E32"/>
  <c r="AC27"/>
  <c r="E27"/>
  <c r="AB46"/>
  <c r="D46"/>
  <c r="AB40"/>
  <c r="D40"/>
  <c r="AB24"/>
  <c r="D24"/>
  <c r="AA41"/>
  <c r="C41"/>
  <c r="AA37"/>
  <c r="C37"/>
  <c r="AA33"/>
  <c r="C33"/>
  <c r="AA27"/>
  <c r="C27"/>
  <c r="AF72"/>
  <c r="AF63"/>
  <c r="AF76"/>
  <c r="AF74"/>
  <c r="AF68"/>
  <c r="AF66"/>
  <c r="AF62"/>
  <c r="AF73"/>
  <c r="AF59"/>
  <c r="AF75"/>
  <c r="AF71"/>
  <c r="AF57"/>
  <c r="L53"/>
  <c r="K53"/>
  <c r="BC61"/>
  <c r="AU61"/>
  <c r="AQ61"/>
  <c r="AW60"/>
  <c r="BB61"/>
  <c r="AY60"/>
  <c r="AV61"/>
  <c r="BA61"/>
  <c r="AA32"/>
  <c r="C32"/>
  <c r="AA24"/>
  <c r="C24"/>
  <c r="AA16"/>
  <c r="C16"/>
  <c r="AA12"/>
  <c r="C12"/>
  <c r="L20"/>
  <c r="K20"/>
  <c r="L52"/>
  <c r="K52"/>
  <c r="L14"/>
  <c r="K14"/>
  <c r="L34"/>
  <c r="K34"/>
  <c r="L28"/>
  <c r="K28"/>
  <c r="L13"/>
  <c r="K13"/>
  <c r="L43"/>
  <c r="K43"/>
  <c r="F55"/>
  <c r="AF61"/>
  <c r="L44"/>
  <c r="K44"/>
  <c r="L40"/>
  <c r="K40"/>
  <c r="L39"/>
  <c r="K39"/>
  <c r="E55"/>
  <c r="H55"/>
  <c r="L51"/>
  <c r="K51"/>
  <c r="L30"/>
  <c r="K30"/>
  <c r="L21"/>
  <c r="K21"/>
  <c r="L41"/>
  <c r="K41"/>
  <c r="L47"/>
  <c r="K47"/>
  <c r="L25"/>
  <c r="K25"/>
  <c r="L48"/>
  <c r="K48"/>
  <c r="L31"/>
  <c r="K31"/>
  <c r="L45"/>
  <c r="K45"/>
  <c r="L50"/>
  <c r="K50"/>
  <c r="L33"/>
  <c r="K33"/>
  <c r="L37"/>
  <c r="K37"/>
  <c r="L23"/>
  <c r="K23"/>
  <c r="D55"/>
  <c r="L46"/>
  <c r="K46"/>
  <c r="L22"/>
  <c r="K22"/>
  <c r="G55"/>
  <c r="L26"/>
  <c r="K26"/>
  <c r="AF60"/>
  <c r="L29"/>
  <c r="K29"/>
  <c r="L38"/>
  <c r="K38"/>
  <c r="L35"/>
  <c r="K35"/>
  <c r="L49"/>
  <c r="K49"/>
  <c r="L15"/>
  <c r="K15"/>
  <c r="L36"/>
  <c r="K36"/>
  <c r="L27"/>
  <c r="K27"/>
  <c r="L42"/>
  <c r="K42"/>
  <c r="L19"/>
  <c r="K19"/>
  <c r="L24"/>
  <c r="K24"/>
  <c r="L32"/>
  <c r="K32"/>
  <c r="L12"/>
  <c r="K12"/>
  <c r="C55"/>
  <c r="L16"/>
  <c r="K16"/>
  <c r="C56"/>
  <c r="B55"/>
  <c r="K55"/>
  <c r="L55"/>
  <c r="M5" i="48"/>
  <c r="AI10"/>
  <c r="AJ10"/>
  <c r="AK10"/>
  <c r="AL10"/>
  <c r="AM10"/>
  <c r="AN10"/>
  <c r="AO10"/>
  <c r="AP10"/>
  <c r="AQ10"/>
  <c r="A14"/>
  <c r="A15"/>
  <c r="A16"/>
  <c r="A17"/>
  <c r="A18"/>
  <c r="A19"/>
  <c r="A20"/>
  <c r="A21"/>
  <c r="A22"/>
  <c r="A23"/>
  <c r="A24"/>
  <c r="A25"/>
  <c r="O25"/>
  <c r="R25"/>
  <c r="T12"/>
  <c r="T13"/>
  <c r="T14"/>
  <c r="T15"/>
  <c r="T16"/>
  <c r="T18"/>
  <c r="T19"/>
  <c r="T20"/>
  <c r="T21"/>
  <c r="T22"/>
  <c r="T23"/>
  <c r="T24"/>
  <c r="T25"/>
  <c r="U25"/>
  <c r="V25"/>
  <c r="W25"/>
  <c r="P25"/>
  <c r="AQ25"/>
  <c r="M6"/>
  <c r="AQ70"/>
  <c r="O24"/>
  <c r="R24"/>
  <c r="U24"/>
  <c r="V24"/>
  <c r="W24"/>
  <c r="P24"/>
  <c r="A26"/>
  <c r="O26"/>
  <c r="R26"/>
  <c r="T26"/>
  <c r="U26"/>
  <c r="V26"/>
  <c r="W26"/>
  <c r="P26"/>
  <c r="A27"/>
  <c r="O27"/>
  <c r="R27"/>
  <c r="T27"/>
  <c r="U27"/>
  <c r="V27"/>
  <c r="W27"/>
  <c r="P27"/>
  <c r="A28"/>
  <c r="O28"/>
  <c r="R28"/>
  <c r="T28"/>
  <c r="U28"/>
  <c r="V28"/>
  <c r="W28"/>
  <c r="P28"/>
  <c r="A29"/>
  <c r="O29"/>
  <c r="R29"/>
  <c r="T29"/>
  <c r="U29"/>
  <c r="V29"/>
  <c r="W29"/>
  <c r="P29"/>
  <c r="A30"/>
  <c r="O30"/>
  <c r="R30"/>
  <c r="T30"/>
  <c r="U30"/>
  <c r="V30"/>
  <c r="W30"/>
  <c r="P30"/>
  <c r="A31"/>
  <c r="O31"/>
  <c r="R31"/>
  <c r="T31"/>
  <c r="U31"/>
  <c r="V31"/>
  <c r="W31"/>
  <c r="P31"/>
  <c r="A32"/>
  <c r="O32"/>
  <c r="R32"/>
  <c r="T32"/>
  <c r="U32"/>
  <c r="V32"/>
  <c r="W32"/>
  <c r="P32"/>
  <c r="A33"/>
  <c r="O33"/>
  <c r="R33"/>
  <c r="T33"/>
  <c r="U33"/>
  <c r="V33"/>
  <c r="W33"/>
  <c r="P33"/>
  <c r="A34"/>
  <c r="O34"/>
  <c r="R34"/>
  <c r="T34"/>
  <c r="U34"/>
  <c r="V34"/>
  <c r="W34"/>
  <c r="P34"/>
  <c r="A35"/>
  <c r="O35"/>
  <c r="R35"/>
  <c r="T35"/>
  <c r="U35"/>
  <c r="V35"/>
  <c r="W35"/>
  <c r="P35"/>
  <c r="A36"/>
  <c r="O36"/>
  <c r="R36"/>
  <c r="T36"/>
  <c r="U36"/>
  <c r="V36"/>
  <c r="W36"/>
  <c r="P36"/>
  <c r="A37"/>
  <c r="O37"/>
  <c r="R37"/>
  <c r="T37"/>
  <c r="U37"/>
  <c r="V37"/>
  <c r="W37"/>
  <c r="P37"/>
  <c r="A38"/>
  <c r="O38"/>
  <c r="R38"/>
  <c r="T38"/>
  <c r="U38"/>
  <c r="V38"/>
  <c r="W38"/>
  <c r="P38"/>
  <c r="A39"/>
  <c r="O39"/>
  <c r="R39"/>
  <c r="T39"/>
  <c r="U39"/>
  <c r="V39"/>
  <c r="W39"/>
  <c r="P39"/>
  <c r="A40"/>
  <c r="O40"/>
  <c r="R40"/>
  <c r="T40"/>
  <c r="U40"/>
  <c r="V40"/>
  <c r="W40"/>
  <c r="P40"/>
  <c r="A41"/>
  <c r="O41"/>
  <c r="R41"/>
  <c r="T41"/>
  <c r="U41"/>
  <c r="V41"/>
  <c r="W41"/>
  <c r="P41"/>
  <c r="A42"/>
  <c r="O42"/>
  <c r="R42"/>
  <c r="T42"/>
  <c r="U42"/>
  <c r="V42"/>
  <c r="W42"/>
  <c r="P42"/>
  <c r="A43"/>
  <c r="O43"/>
  <c r="R43"/>
  <c r="T43"/>
  <c r="U43"/>
  <c r="V43"/>
  <c r="W43"/>
  <c r="P43"/>
  <c r="A44"/>
  <c r="O44"/>
  <c r="R44"/>
  <c r="T44"/>
  <c r="U44"/>
  <c r="V44"/>
  <c r="W44"/>
  <c r="P44"/>
  <c r="A45"/>
  <c r="O45"/>
  <c r="R45"/>
  <c r="T45"/>
  <c r="U45"/>
  <c r="V45"/>
  <c r="W45"/>
  <c r="P45"/>
  <c r="A46"/>
  <c r="O46"/>
  <c r="R46"/>
  <c r="T46"/>
  <c r="U46"/>
  <c r="V46"/>
  <c r="W46"/>
  <c r="P46"/>
  <c r="A47"/>
  <c r="O47"/>
  <c r="R47"/>
  <c r="T47"/>
  <c r="U47"/>
  <c r="V47"/>
  <c r="W47"/>
  <c r="P47"/>
  <c r="A48"/>
  <c r="O48"/>
  <c r="R48"/>
  <c r="T48"/>
  <c r="U48"/>
  <c r="V48"/>
  <c r="W48"/>
  <c r="P48"/>
  <c r="A49"/>
  <c r="O49"/>
  <c r="R49"/>
  <c r="T49"/>
  <c r="U49"/>
  <c r="V49"/>
  <c r="W49"/>
  <c r="P49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G31"/>
  <c r="BG76"/>
  <c r="BG27"/>
  <c r="BG72"/>
  <c r="O23"/>
  <c r="R23"/>
  <c r="U23"/>
  <c r="V23"/>
  <c r="W23"/>
  <c r="P23"/>
  <c r="O22"/>
  <c r="R22"/>
  <c r="U22"/>
  <c r="V22"/>
  <c r="W22"/>
  <c r="P22"/>
  <c r="O21"/>
  <c r="R21"/>
  <c r="U21"/>
  <c r="V21"/>
  <c r="W21"/>
  <c r="P21"/>
  <c r="O20"/>
  <c r="R20"/>
  <c r="U20"/>
  <c r="V20"/>
  <c r="W20"/>
  <c r="P20"/>
  <c r="O19"/>
  <c r="R19"/>
  <c r="U19"/>
  <c r="V19"/>
  <c r="W19"/>
  <c r="P19"/>
  <c r="BF19"/>
  <c r="BF63"/>
  <c r="O18"/>
  <c r="R18"/>
  <c r="U18"/>
  <c r="V18"/>
  <c r="W18"/>
  <c r="P18"/>
  <c r="AW18"/>
  <c r="AW62"/>
  <c r="O16"/>
  <c r="R16"/>
  <c r="U16"/>
  <c r="V16"/>
  <c r="W16"/>
  <c r="P16"/>
  <c r="BF16"/>
  <c r="O15"/>
  <c r="R15"/>
  <c r="U15"/>
  <c r="V15"/>
  <c r="W15"/>
  <c r="P15"/>
  <c r="AY15"/>
  <c r="AY59"/>
  <c r="O14"/>
  <c r="R14"/>
  <c r="U14"/>
  <c r="V14"/>
  <c r="W14"/>
  <c r="P14"/>
  <c r="AS14"/>
  <c r="AS58"/>
  <c r="O12"/>
  <c r="R12"/>
  <c r="U12"/>
  <c r="V12"/>
  <c r="W12"/>
  <c r="P12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13"/>
  <c r="O13"/>
  <c r="R13"/>
  <c r="Q13"/>
  <c r="U13"/>
  <c r="V13"/>
  <c r="W13"/>
  <c r="P13"/>
  <c r="O17"/>
  <c r="R17"/>
  <c r="T17"/>
  <c r="U17"/>
  <c r="V17"/>
  <c r="W17"/>
  <c r="P17"/>
  <c r="S55"/>
  <c r="R55"/>
  <c r="Q55"/>
  <c r="P55"/>
  <c r="O55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5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5"/>
  <c r="A50"/>
  <c r="A51"/>
  <c r="A52"/>
  <c r="A53"/>
  <c r="O53"/>
  <c r="R53"/>
  <c r="T50"/>
  <c r="T51"/>
  <c r="T52"/>
  <c r="T53"/>
  <c r="U53"/>
  <c r="V53"/>
  <c r="W53"/>
  <c r="P53"/>
  <c r="X53"/>
  <c r="N53"/>
  <c r="M53"/>
  <c r="B53"/>
  <c r="O52"/>
  <c r="R52"/>
  <c r="U52"/>
  <c r="V52"/>
  <c r="W52"/>
  <c r="P52"/>
  <c r="X52"/>
  <c r="N52"/>
  <c r="M52"/>
  <c r="B52"/>
  <c r="O51"/>
  <c r="R51"/>
  <c r="U51"/>
  <c r="V51"/>
  <c r="W51"/>
  <c r="P51"/>
  <c r="X51"/>
  <c r="N51"/>
  <c r="M51"/>
  <c r="B51"/>
  <c r="O50"/>
  <c r="R50"/>
  <c r="U50"/>
  <c r="V50"/>
  <c r="W50"/>
  <c r="P50"/>
  <c r="X50"/>
  <c r="N50"/>
  <c r="M50"/>
  <c r="B50"/>
  <c r="AO49"/>
  <c r="X49"/>
  <c r="B49"/>
  <c r="X48"/>
  <c r="B48"/>
  <c r="AU47"/>
  <c r="X47"/>
  <c r="B47"/>
  <c r="X46"/>
  <c r="B46"/>
  <c r="X45"/>
  <c r="B45"/>
  <c r="AZ44"/>
  <c r="X44"/>
  <c r="B44"/>
  <c r="X43"/>
  <c r="B43"/>
  <c r="AP42"/>
  <c r="X42"/>
  <c r="B42"/>
  <c r="X41"/>
  <c r="B41"/>
  <c r="X40"/>
  <c r="B40"/>
  <c r="AM39"/>
  <c r="X39"/>
  <c r="B39"/>
  <c r="X38"/>
  <c r="B38"/>
  <c r="BE37"/>
  <c r="AK37"/>
  <c r="X37"/>
  <c r="B37"/>
  <c r="X36"/>
  <c r="B36"/>
  <c r="AY35"/>
  <c r="AR35"/>
  <c r="X35"/>
  <c r="B35"/>
  <c r="AT34"/>
  <c r="X34"/>
  <c r="B34"/>
  <c r="X33"/>
  <c r="B33"/>
  <c r="BD32"/>
  <c r="AW32"/>
  <c r="X32"/>
  <c r="B32"/>
  <c r="X31"/>
  <c r="B31"/>
  <c r="X30"/>
  <c r="B30"/>
  <c r="X29"/>
  <c r="B29"/>
  <c r="X28"/>
  <c r="B28"/>
  <c r="X27"/>
  <c r="B27"/>
  <c r="X26"/>
  <c r="B26"/>
  <c r="X25"/>
  <c r="B25"/>
  <c r="X24"/>
  <c r="B24"/>
  <c r="X23"/>
  <c r="B23"/>
  <c r="X22"/>
  <c r="B22"/>
  <c r="X21"/>
  <c r="B21"/>
  <c r="AB20"/>
  <c r="D20"/>
  <c r="X20"/>
  <c r="N20"/>
  <c r="M20"/>
  <c r="B20"/>
  <c r="X19"/>
  <c r="N19"/>
  <c r="M19"/>
  <c r="B19"/>
  <c r="X18"/>
  <c r="N18"/>
  <c r="M18"/>
  <c r="B18"/>
  <c r="BE17"/>
  <c r="AZ17"/>
  <c r="AW17"/>
  <c r="X17"/>
  <c r="N17"/>
  <c r="M17"/>
  <c r="B17"/>
  <c r="X16"/>
  <c r="N16"/>
  <c r="M16"/>
  <c r="B16"/>
  <c r="X15"/>
  <c r="N15"/>
  <c r="M15"/>
  <c r="B15"/>
  <c r="AE14"/>
  <c r="G14"/>
  <c r="AD14"/>
  <c r="F14"/>
  <c r="X14"/>
  <c r="N14"/>
  <c r="M14"/>
  <c r="B14"/>
  <c r="AO13"/>
  <c r="X13"/>
  <c r="N13"/>
  <c r="M13"/>
  <c r="B13"/>
  <c r="AF12"/>
  <c r="H12"/>
  <c r="X12"/>
  <c r="N12"/>
  <c r="M12"/>
  <c r="B12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H11"/>
  <c r="G11"/>
  <c r="F11"/>
  <c r="E11"/>
  <c r="D11"/>
  <c r="C11"/>
  <c r="AT13"/>
  <c r="AY34"/>
  <c r="BD40"/>
  <c r="AX47"/>
  <c r="AB52"/>
  <c r="D52"/>
  <c r="AH12"/>
  <c r="AH57"/>
  <c r="BA13"/>
  <c r="BF34"/>
  <c r="AI36"/>
  <c r="BI40"/>
  <c r="AQ43"/>
  <c r="BC47"/>
  <c r="AV43"/>
  <c r="AE23"/>
  <c r="G23"/>
  <c r="BD33"/>
  <c r="AQ36"/>
  <c r="BG43"/>
  <c r="AH46"/>
  <c r="AH50"/>
  <c r="AD36"/>
  <c r="F36"/>
  <c r="AW33"/>
  <c r="AN36"/>
  <c r="AC15"/>
  <c r="E15"/>
  <c r="AF18"/>
  <c r="H18"/>
  <c r="BI33"/>
  <c r="AQ35"/>
  <c r="AJ39"/>
  <c r="AW46"/>
  <c r="AD30"/>
  <c r="F30"/>
  <c r="AT18"/>
  <c r="AT62"/>
  <c r="BB19"/>
  <c r="BB63"/>
  <c r="AH20"/>
  <c r="AH64"/>
  <c r="BB13"/>
  <c r="BG34"/>
  <c r="AL37"/>
  <c r="AU42"/>
  <c r="AX46"/>
  <c r="AW50"/>
  <c r="AG32"/>
  <c r="BG35"/>
  <c r="AO38"/>
  <c r="AX42"/>
  <c r="AP45"/>
  <c r="BB50"/>
  <c r="AD13"/>
  <c r="F13"/>
  <c r="AD16"/>
  <c r="F16"/>
  <c r="AJ17"/>
  <c r="AE19"/>
  <c r="G19"/>
  <c r="AG25"/>
  <c r="AN32"/>
  <c r="AN33"/>
  <c r="AI34"/>
  <c r="BH35"/>
  <c r="BD36"/>
  <c r="AT37"/>
  <c r="AP38"/>
  <c r="AW41"/>
  <c r="AG44"/>
  <c r="BA45"/>
  <c r="AS48"/>
  <c r="BH49"/>
  <c r="AA22"/>
  <c r="C22"/>
  <c r="AQ22"/>
  <c r="AQ66"/>
  <c r="AO23"/>
  <c r="AO67"/>
  <c r="AF17"/>
  <c r="H17"/>
  <c r="AR36"/>
  <c r="AN38"/>
  <c r="BD52"/>
  <c r="AG33"/>
  <c r="AY36"/>
  <c r="AJ41"/>
  <c r="BE46"/>
  <c r="AK13"/>
  <c r="AG16"/>
  <c r="AO17"/>
  <c r="AU32"/>
  <c r="AS33"/>
  <c r="AP34"/>
  <c r="AI35"/>
  <c r="BG36"/>
  <c r="BA37"/>
  <c r="BE38"/>
  <c r="AJ40"/>
  <c r="AZ41"/>
  <c r="AJ44"/>
  <c r="BF45"/>
  <c r="AV48"/>
  <c r="AM53"/>
  <c r="BB22"/>
  <c r="BB66"/>
  <c r="AU23"/>
  <c r="AU67"/>
  <c r="AJ24"/>
  <c r="AJ68"/>
  <c r="BF35"/>
  <c r="AZ39"/>
  <c r="AG45"/>
  <c r="AR49"/>
  <c r="AC30"/>
  <c r="E30"/>
  <c r="BE13"/>
  <c r="AG17"/>
  <c r="AO37"/>
  <c r="AS49"/>
  <c r="AB25"/>
  <c r="D25"/>
  <c r="AL13"/>
  <c r="AB15"/>
  <c r="D15"/>
  <c r="AV17"/>
  <c r="AV32"/>
  <c r="AV33"/>
  <c r="AQ34"/>
  <c r="AP35"/>
  <c r="BH36"/>
  <c r="BB37"/>
  <c r="AS40"/>
  <c r="BA41"/>
  <c r="AL43"/>
  <c r="AM44"/>
  <c r="AH47"/>
  <c r="BA48"/>
  <c r="AI51"/>
  <c r="AQ53"/>
  <c r="AF28"/>
  <c r="H28"/>
  <c r="AV15"/>
  <c r="AV59"/>
  <c r="AM16"/>
  <c r="AM61"/>
  <c r="AO18"/>
  <c r="AO62"/>
  <c r="BA23"/>
  <c r="BA67"/>
  <c r="AA37"/>
  <c r="C37"/>
  <c r="BE30"/>
  <c r="BE75"/>
  <c r="AX28"/>
  <c r="AX73"/>
  <c r="AY26"/>
  <c r="AY71"/>
  <c r="AU25"/>
  <c r="AU70"/>
  <c r="AY24"/>
  <c r="AY68"/>
  <c r="AS23"/>
  <c r="AS67"/>
  <c r="AX21"/>
  <c r="AX65"/>
  <c r="AQ20"/>
  <c r="AQ64"/>
  <c r="BA19"/>
  <c r="BA63"/>
  <c r="AK19"/>
  <c r="AK63"/>
  <c r="AS18"/>
  <c r="AS62"/>
  <c r="AY16"/>
  <c r="AY60"/>
  <c r="AI16"/>
  <c r="AI60"/>
  <c r="BI15"/>
  <c r="BI59"/>
  <c r="AT15"/>
  <c r="AT59"/>
  <c r="BD14"/>
  <c r="BD58"/>
  <c r="AL14"/>
  <c r="AL58"/>
  <c r="AV12"/>
  <c r="AV57"/>
  <c r="AA23"/>
  <c r="C23"/>
  <c r="AB34"/>
  <c r="D34"/>
  <c r="AC24"/>
  <c r="E24"/>
  <c r="AC39"/>
  <c r="E39"/>
  <c r="AD26"/>
  <c r="F26"/>
  <c r="AD39"/>
  <c r="F39"/>
  <c r="AE28"/>
  <c r="G28"/>
  <c r="AE42"/>
  <c r="G42"/>
  <c r="AF29"/>
  <c r="H29"/>
  <c r="AF44"/>
  <c r="H44"/>
  <c r="AW53"/>
  <c r="AG53"/>
  <c r="BB52"/>
  <c r="AL52"/>
  <c r="BI51"/>
  <c r="AS51"/>
  <c r="AE51"/>
  <c r="G51"/>
  <c r="BE50"/>
  <c r="AS50"/>
  <c r="AJ50"/>
  <c r="AB50"/>
  <c r="D50"/>
  <c r="BG49"/>
  <c r="AY49"/>
  <c r="AQ49"/>
  <c r="AI49"/>
  <c r="BF48"/>
  <c r="AX48"/>
  <c r="AP48"/>
  <c r="AH48"/>
  <c r="BE47"/>
  <c r="AW47"/>
  <c r="AO47"/>
  <c r="AG47"/>
  <c r="BD46"/>
  <c r="AV46"/>
  <c r="AN46"/>
  <c r="BC45"/>
  <c r="AU45"/>
  <c r="AM45"/>
  <c r="BB44"/>
  <c r="AT44"/>
  <c r="AL44"/>
  <c r="BI43"/>
  <c r="BA43"/>
  <c r="AS43"/>
  <c r="AK43"/>
  <c r="BH42"/>
  <c r="AZ42"/>
  <c r="AR42"/>
  <c r="AJ42"/>
  <c r="BG41"/>
  <c r="AY41"/>
  <c r="AQ41"/>
  <c r="AI41"/>
  <c r="BF40"/>
  <c r="AX40"/>
  <c r="AP40"/>
  <c r="AH40"/>
  <c r="BE39"/>
  <c r="AW39"/>
  <c r="AO39"/>
  <c r="AG39"/>
  <c r="BD38"/>
  <c r="AV38"/>
  <c r="AZ30"/>
  <c r="AZ75"/>
  <c r="AH28"/>
  <c r="AH73"/>
  <c r="AP26"/>
  <c r="AP71"/>
  <c r="AT25"/>
  <c r="AT70"/>
  <c r="AX24"/>
  <c r="AX68"/>
  <c r="AQ23"/>
  <c r="AQ67"/>
  <c r="BF22"/>
  <c r="BF66"/>
  <c r="AU21"/>
  <c r="AU65"/>
  <c r="AP20"/>
  <c r="AP64"/>
  <c r="AZ19"/>
  <c r="AZ63"/>
  <c r="AJ19"/>
  <c r="AJ63"/>
  <c r="BH18"/>
  <c r="BH62"/>
  <c r="AQ18"/>
  <c r="AQ62"/>
  <c r="AX16"/>
  <c r="AX60"/>
  <c r="AH16"/>
  <c r="AH60"/>
  <c r="BG15"/>
  <c r="BG59"/>
  <c r="AR15"/>
  <c r="AR59"/>
  <c r="AZ14"/>
  <c r="AZ58"/>
  <c r="AK14"/>
  <c r="AK58"/>
  <c r="BI12"/>
  <c r="BI57"/>
  <c r="AT12"/>
  <c r="AT57"/>
  <c r="AB24"/>
  <c r="D24"/>
  <c r="AB38"/>
  <c r="D38"/>
  <c r="AC26"/>
  <c r="E26"/>
  <c r="AC41"/>
  <c r="E41"/>
  <c r="AD29"/>
  <c r="F29"/>
  <c r="AD42"/>
  <c r="F42"/>
  <c r="AE43"/>
  <c r="G43"/>
  <c r="AF30"/>
  <c r="H30"/>
  <c r="AF45"/>
  <c r="H45"/>
  <c r="AU53"/>
  <c r="AE53"/>
  <c r="G53"/>
  <c r="AZ52"/>
  <c r="AJ52"/>
  <c r="BH51"/>
  <c r="AR51"/>
  <c r="AC51"/>
  <c r="E51"/>
  <c r="BD50"/>
  <c r="AR50"/>
  <c r="AI50"/>
  <c r="AA50"/>
  <c r="C50"/>
  <c r="BF49"/>
  <c r="AX49"/>
  <c r="AP49"/>
  <c r="AH49"/>
  <c r="BE48"/>
  <c r="AW48"/>
  <c r="AO48"/>
  <c r="AG48"/>
  <c r="BD47"/>
  <c r="AV47"/>
  <c r="AN47"/>
  <c r="BC46"/>
  <c r="AU46"/>
  <c r="AM46"/>
  <c r="BB45"/>
  <c r="AT45"/>
  <c r="AL45"/>
  <c r="BI44"/>
  <c r="BA44"/>
  <c r="AS44"/>
  <c r="AK44"/>
  <c r="BH43"/>
  <c r="AZ43"/>
  <c r="AR43"/>
  <c r="AJ43"/>
  <c r="BG42"/>
  <c r="AY42"/>
  <c r="AQ42"/>
  <c r="AI42"/>
  <c r="BF41"/>
  <c r="AX41"/>
  <c r="AP41"/>
  <c r="AH41"/>
  <c r="BE40"/>
  <c r="AW40"/>
  <c r="AO40"/>
  <c r="AG40"/>
  <c r="BD39"/>
  <c r="AV39"/>
  <c r="AN39"/>
  <c r="BC38"/>
  <c r="AU38"/>
  <c r="AM38"/>
  <c r="BD31"/>
  <c r="BD76"/>
  <c r="AJ30"/>
  <c r="AJ75"/>
  <c r="BF27"/>
  <c r="BF72"/>
  <c r="AL26"/>
  <c r="AL71"/>
  <c r="AO25"/>
  <c r="AO70"/>
  <c r="AS24"/>
  <c r="AS68"/>
  <c r="AZ22"/>
  <c r="AZ66"/>
  <c r="AM21"/>
  <c r="AM65"/>
  <c r="AM20"/>
  <c r="AM64"/>
  <c r="AT19"/>
  <c r="AT63"/>
  <c r="BD18"/>
  <c r="BD62"/>
  <c r="AN18"/>
  <c r="AN62"/>
  <c r="AU16"/>
  <c r="BB15"/>
  <c r="BB59"/>
  <c r="AN15"/>
  <c r="AN59"/>
  <c r="AW14"/>
  <c r="AW58"/>
  <c r="BD12"/>
  <c r="BD57"/>
  <c r="AO12"/>
  <c r="AO57"/>
  <c r="AB26"/>
  <c r="D26"/>
  <c r="AB41"/>
  <c r="D41"/>
  <c r="AC31"/>
  <c r="E31"/>
  <c r="AC46"/>
  <c r="E46"/>
  <c r="AD31"/>
  <c r="F31"/>
  <c r="AD44"/>
  <c r="F44"/>
  <c r="AE31"/>
  <c r="G31"/>
  <c r="AE49"/>
  <c r="G49"/>
  <c r="AF36"/>
  <c r="H36"/>
  <c r="BF53"/>
  <c r="AP53"/>
  <c r="AU52"/>
  <c r="AE52"/>
  <c r="G52"/>
  <c r="BE51"/>
  <c r="AO51"/>
  <c r="AA51"/>
  <c r="C51"/>
  <c r="AZ50"/>
  <c r="AP50"/>
  <c r="AG50"/>
  <c r="BD49"/>
  <c r="AV49"/>
  <c r="AN49"/>
  <c r="BC48"/>
  <c r="AU48"/>
  <c r="AM48"/>
  <c r="BB47"/>
  <c r="AT47"/>
  <c r="AL47"/>
  <c r="BI46"/>
  <c r="BA46"/>
  <c r="AS46"/>
  <c r="AK46"/>
  <c r="BH45"/>
  <c r="AZ45"/>
  <c r="AR45"/>
  <c r="AJ45"/>
  <c r="BG44"/>
  <c r="AY44"/>
  <c r="AQ44"/>
  <c r="AI44"/>
  <c r="BF43"/>
  <c r="AX43"/>
  <c r="AP43"/>
  <c r="AH43"/>
  <c r="BE42"/>
  <c r="AW42"/>
  <c r="AO42"/>
  <c r="AG42"/>
  <c r="BD41"/>
  <c r="AV41"/>
  <c r="AN41"/>
  <c r="BC40"/>
  <c r="AU40"/>
  <c r="AM40"/>
  <c r="BB39"/>
  <c r="AT39"/>
  <c r="AL39"/>
  <c r="BI38"/>
  <c r="BA38"/>
  <c r="AS38"/>
  <c r="AK38"/>
  <c r="AV31"/>
  <c r="AV76"/>
  <c r="BE29"/>
  <c r="BE74"/>
  <c r="AX27"/>
  <c r="AX72"/>
  <c r="AH26"/>
  <c r="AH71"/>
  <c r="AH25"/>
  <c r="AH70"/>
  <c r="AL24"/>
  <c r="AL68"/>
  <c r="AR22"/>
  <c r="AR66"/>
  <c r="BI20"/>
  <c r="BI64"/>
  <c r="AI20"/>
  <c r="AI64"/>
  <c r="BI19"/>
  <c r="BI63"/>
  <c r="AS19"/>
  <c r="AS63"/>
  <c r="BB18"/>
  <c r="BB62"/>
  <c r="AM18"/>
  <c r="AM62"/>
  <c r="BG16"/>
  <c r="BG60"/>
  <c r="AQ16"/>
  <c r="AQ60"/>
  <c r="BA15"/>
  <c r="BA59"/>
  <c r="AM15"/>
  <c r="AM59"/>
  <c r="AT14"/>
  <c r="AT58"/>
  <c r="BC12"/>
  <c r="BC57"/>
  <c r="AN12"/>
  <c r="AN57"/>
  <c r="AA14"/>
  <c r="C14"/>
  <c r="AB27"/>
  <c r="D27"/>
  <c r="AB45"/>
  <c r="D45"/>
  <c r="AC32"/>
  <c r="E32"/>
  <c r="AC48"/>
  <c r="E48"/>
  <c r="AD33"/>
  <c r="F33"/>
  <c r="AD46"/>
  <c r="F46"/>
  <c r="AE35"/>
  <c r="G35"/>
  <c r="AF21"/>
  <c r="H21"/>
  <c r="BE53"/>
  <c r="AO53"/>
  <c r="AT52"/>
  <c r="AD52"/>
  <c r="F52"/>
  <c r="BA51"/>
  <c r="AK51"/>
  <c r="AX50"/>
  <c r="AO50"/>
  <c r="AF50"/>
  <c r="H50"/>
  <c r="BC49"/>
  <c r="AU49"/>
  <c r="AM49"/>
  <c r="BB48"/>
  <c r="AT48"/>
  <c r="AL48"/>
  <c r="BI47"/>
  <c r="BA47"/>
  <c r="AS47"/>
  <c r="AK47"/>
  <c r="BH46"/>
  <c r="AZ46"/>
  <c r="AR46"/>
  <c r="AJ46"/>
  <c r="BG45"/>
  <c r="AY45"/>
  <c r="AQ45"/>
  <c r="AI45"/>
  <c r="BF44"/>
  <c r="AX44"/>
  <c r="AP44"/>
  <c r="AH44"/>
  <c r="BE43"/>
  <c r="AW43"/>
  <c r="AO43"/>
  <c r="AG43"/>
  <c r="BD42"/>
  <c r="AV42"/>
  <c r="AN42"/>
  <c r="BC41"/>
  <c r="AU41"/>
  <c r="AM41"/>
  <c r="BB40"/>
  <c r="AT40"/>
  <c r="AL40"/>
  <c r="BI39"/>
  <c r="BA39"/>
  <c r="AS39"/>
  <c r="AK39"/>
  <c r="BH38"/>
  <c r="AZ38"/>
  <c r="AR38"/>
  <c r="AJ38"/>
  <c r="AL27"/>
  <c r="AL72"/>
  <c r="BH24"/>
  <c r="BH68"/>
  <c r="AM22"/>
  <c r="AM66"/>
  <c r="BC21"/>
  <c r="BC65"/>
  <c r="AX19"/>
  <c r="AX63"/>
  <c r="AK18"/>
  <c r="AK62"/>
  <c r="BE16"/>
  <c r="BE60"/>
  <c r="AO15"/>
  <c r="AO59"/>
  <c r="AI14"/>
  <c r="AI58"/>
  <c r="BB12"/>
  <c r="BB57"/>
  <c r="AB31"/>
  <c r="D31"/>
  <c r="AC37"/>
  <c r="E37"/>
  <c r="AE37"/>
  <c r="G37"/>
  <c r="AF39"/>
  <c r="H39"/>
  <c r="AI53"/>
  <c r="AV52"/>
  <c r="BG51"/>
  <c r="AB51"/>
  <c r="D51"/>
  <c r="AT50"/>
  <c r="AC50"/>
  <c r="E50"/>
  <c r="BB49"/>
  <c r="AL49"/>
  <c r="BG48"/>
  <c r="AQ48"/>
  <c r="BG47"/>
  <c r="AQ47"/>
  <c r="BG46"/>
  <c r="AQ46"/>
  <c r="AV45"/>
  <c r="AV44"/>
  <c r="AU43"/>
  <c r="AT42"/>
  <c r="AT41"/>
  <c r="AY40"/>
  <c r="AI40"/>
  <c r="AY39"/>
  <c r="AI39"/>
  <c r="AY38"/>
  <c r="AL38"/>
  <c r="BG37"/>
  <c r="AY37"/>
  <c r="AQ37"/>
  <c r="AI37"/>
  <c r="BF36"/>
  <c r="AX36"/>
  <c r="AP36"/>
  <c r="AH36"/>
  <c r="BE35"/>
  <c r="AW35"/>
  <c r="AO35"/>
  <c r="AG35"/>
  <c r="BD34"/>
  <c r="AV34"/>
  <c r="AN34"/>
  <c r="BC33"/>
  <c r="AU33"/>
  <c r="AM33"/>
  <c r="BB32"/>
  <c r="AT32"/>
  <c r="AL32"/>
  <c r="AG31"/>
  <c r="AG23"/>
  <c r="AB19"/>
  <c r="D19"/>
  <c r="AE18"/>
  <c r="G18"/>
  <c r="BB17"/>
  <c r="AT17"/>
  <c r="AL17"/>
  <c r="AD17"/>
  <c r="F17"/>
  <c r="AF16"/>
  <c r="H16"/>
  <c r="AC14"/>
  <c r="E14"/>
  <c r="BG13"/>
  <c r="AY13"/>
  <c r="AQ13"/>
  <c r="AI13"/>
  <c r="AD12"/>
  <c r="F12"/>
  <c r="BF26"/>
  <c r="BF71"/>
  <c r="BB20"/>
  <c r="BB64"/>
  <c r="AP19"/>
  <c r="AP63"/>
  <c r="AW16"/>
  <c r="AW60"/>
  <c r="AB39"/>
  <c r="D39"/>
  <c r="AD43"/>
  <c r="F43"/>
  <c r="AF47"/>
  <c r="H47"/>
  <c r="BG53"/>
  <c r="AN31"/>
  <c r="AN76"/>
  <c r="AI27"/>
  <c r="AI72"/>
  <c r="BG24"/>
  <c r="BG68"/>
  <c r="AK22"/>
  <c r="AK66"/>
  <c r="AZ21"/>
  <c r="AZ65"/>
  <c r="AR19"/>
  <c r="AR63"/>
  <c r="BC16"/>
  <c r="BC60"/>
  <c r="AL15"/>
  <c r="AL59"/>
  <c r="BH14"/>
  <c r="BH58"/>
  <c r="AX12"/>
  <c r="AX57"/>
  <c r="AB32"/>
  <c r="D32"/>
  <c r="AC38"/>
  <c r="E38"/>
  <c r="AD37"/>
  <c r="F37"/>
  <c r="AE38"/>
  <c r="G38"/>
  <c r="AF43"/>
  <c r="H43"/>
  <c r="AH53"/>
  <c r="AR52"/>
  <c r="AZ51"/>
  <c r="AQ50"/>
  <c r="BA49"/>
  <c r="AK49"/>
  <c r="BD48"/>
  <c r="AN48"/>
  <c r="BF47"/>
  <c r="AP47"/>
  <c r="BF46"/>
  <c r="AP46"/>
  <c r="BI45"/>
  <c r="AS45"/>
  <c r="AU44"/>
  <c r="AT43"/>
  <c r="BI42"/>
  <c r="AS42"/>
  <c r="BI41"/>
  <c r="AS41"/>
  <c r="AV40"/>
  <c r="AX39"/>
  <c r="AH39"/>
  <c r="AX38"/>
  <c r="AI38"/>
  <c r="BF37"/>
  <c r="AX37"/>
  <c r="AP37"/>
  <c r="AH37"/>
  <c r="BE36"/>
  <c r="AW36"/>
  <c r="AO36"/>
  <c r="AG36"/>
  <c r="BD35"/>
  <c r="AV35"/>
  <c r="AN35"/>
  <c r="BC34"/>
  <c r="AU34"/>
  <c r="AM34"/>
  <c r="BB33"/>
  <c r="AT33"/>
  <c r="AL33"/>
  <c r="BI32"/>
  <c r="BA32"/>
  <c r="AS32"/>
  <c r="AK32"/>
  <c r="AG28"/>
  <c r="AG20"/>
  <c r="AD18"/>
  <c r="F18"/>
  <c r="BI17"/>
  <c r="BA17"/>
  <c r="AS17"/>
  <c r="AK17"/>
  <c r="AC17"/>
  <c r="E17"/>
  <c r="AE16"/>
  <c r="G16"/>
  <c r="AG15"/>
  <c r="AB14"/>
  <c r="D14"/>
  <c r="BF13"/>
  <c r="AX13"/>
  <c r="AP13"/>
  <c r="AH13"/>
  <c r="AC12"/>
  <c r="E12"/>
  <c r="BI30"/>
  <c r="BI75"/>
  <c r="BE24"/>
  <c r="BE68"/>
  <c r="AO21"/>
  <c r="AO65"/>
  <c r="AH15"/>
  <c r="AH59"/>
  <c r="BG14"/>
  <c r="BG58"/>
  <c r="AW12"/>
  <c r="AW57"/>
  <c r="AC45"/>
  <c r="E45"/>
  <c r="AE45"/>
  <c r="G45"/>
  <c r="AA53"/>
  <c r="C53"/>
  <c r="AK30"/>
  <c r="AK75"/>
  <c r="AM26"/>
  <c r="AM71"/>
  <c r="AW24"/>
  <c r="AW68"/>
  <c r="AI21"/>
  <c r="AI65"/>
  <c r="AZ20"/>
  <c r="AZ64"/>
  <c r="AL19"/>
  <c r="AL63"/>
  <c r="BE18"/>
  <c r="BE62"/>
  <c r="AP16"/>
  <c r="AP60"/>
  <c r="BF14"/>
  <c r="BF58"/>
  <c r="AP12"/>
  <c r="AP57"/>
  <c r="AA15"/>
  <c r="C15"/>
  <c r="AA20"/>
  <c r="C20"/>
  <c r="AB46"/>
  <c r="D46"/>
  <c r="AD23"/>
  <c r="F23"/>
  <c r="AE21"/>
  <c r="G21"/>
  <c r="AF22"/>
  <c r="H22"/>
  <c r="BC53"/>
  <c r="AM52"/>
  <c r="AW51"/>
  <c r="BH50"/>
  <c r="AL50"/>
  <c r="AW49"/>
  <c r="AG49"/>
  <c r="AZ48"/>
  <c r="AJ48"/>
  <c r="AZ47"/>
  <c r="AJ47"/>
  <c r="BB46"/>
  <c r="AL46"/>
  <c r="BE45"/>
  <c r="AO45"/>
  <c r="BE44"/>
  <c r="AO44"/>
  <c r="BD43"/>
  <c r="AN43"/>
  <c r="BC42"/>
  <c r="AM42"/>
  <c r="BE41"/>
  <c r="AO41"/>
  <c r="BH40"/>
  <c r="AR40"/>
  <c r="BH39"/>
  <c r="AR39"/>
  <c r="AT38"/>
  <c r="AG38"/>
  <c r="BD37"/>
  <c r="AV37"/>
  <c r="AN37"/>
  <c r="BC36"/>
  <c r="AU36"/>
  <c r="AM36"/>
  <c r="BB35"/>
  <c r="AT35"/>
  <c r="AL35"/>
  <c r="BI34"/>
  <c r="BA34"/>
  <c r="AS34"/>
  <c r="AK34"/>
  <c r="BH33"/>
  <c r="AZ33"/>
  <c r="AR33"/>
  <c r="AJ33"/>
  <c r="BG32"/>
  <c r="AY32"/>
  <c r="AQ32"/>
  <c r="AI32"/>
  <c r="AG30"/>
  <c r="AG22"/>
  <c r="AE20"/>
  <c r="G20"/>
  <c r="AG19"/>
  <c r="AB18"/>
  <c r="D18"/>
  <c r="AA18"/>
  <c r="C18"/>
  <c r="AC18"/>
  <c r="E18"/>
  <c r="L18"/>
  <c r="K18"/>
  <c r="BG17"/>
  <c r="AY17"/>
  <c r="AQ17"/>
  <c r="AI17"/>
  <c r="AC16"/>
  <c r="E16"/>
  <c r="AE15"/>
  <c r="G15"/>
  <c r="BD13"/>
  <c r="AV13"/>
  <c r="AN13"/>
  <c r="AF13"/>
  <c r="H13"/>
  <c r="AA29"/>
  <c r="C29"/>
  <c r="AL29"/>
  <c r="AL74"/>
  <c r="BE25"/>
  <c r="BE70"/>
  <c r="AK24"/>
  <c r="AK68"/>
  <c r="BF23"/>
  <c r="BF67"/>
  <c r="AW20"/>
  <c r="AW64"/>
  <c r="AH19"/>
  <c r="AH63"/>
  <c r="AY18"/>
  <c r="AY62"/>
  <c r="AO16"/>
  <c r="AO60"/>
  <c r="BC15"/>
  <c r="BC59"/>
  <c r="AY14"/>
  <c r="AY58"/>
  <c r="AL12"/>
  <c r="AL57"/>
  <c r="AA21"/>
  <c r="C21"/>
  <c r="AC22"/>
  <c r="E22"/>
  <c r="AE22"/>
  <c r="G22"/>
  <c r="AF24"/>
  <c r="H24"/>
  <c r="AY53"/>
  <c r="AF52"/>
  <c r="H52"/>
  <c r="AQ51"/>
  <c r="BF50"/>
  <c r="AK50"/>
  <c r="AT49"/>
  <c r="AY48"/>
  <c r="AI48"/>
  <c r="AY47"/>
  <c r="AI47"/>
  <c r="AY46"/>
  <c r="AI46"/>
  <c r="BD45"/>
  <c r="AN45"/>
  <c r="BD44"/>
  <c r="AN44"/>
  <c r="BC43"/>
  <c r="AM43"/>
  <c r="BB42"/>
  <c r="AL42"/>
  <c r="BB41"/>
  <c r="AL41"/>
  <c r="BG40"/>
  <c r="AQ40"/>
  <c r="BG39"/>
  <c r="AQ39"/>
  <c r="BG38"/>
  <c r="AQ38"/>
  <c r="BC37"/>
  <c r="AU37"/>
  <c r="AM37"/>
  <c r="BB36"/>
  <c r="AT36"/>
  <c r="AL36"/>
  <c r="BI35"/>
  <c r="BA35"/>
  <c r="AS35"/>
  <c r="AK35"/>
  <c r="BH34"/>
  <c r="AZ34"/>
  <c r="AR34"/>
  <c r="AJ34"/>
  <c r="BG33"/>
  <c r="AY33"/>
  <c r="AQ33"/>
  <c r="AI33"/>
  <c r="BF32"/>
  <c r="AX32"/>
  <c r="AP32"/>
  <c r="AH32"/>
  <c r="AG27"/>
  <c r="AD20"/>
  <c r="F20"/>
  <c r="AF19"/>
  <c r="H19"/>
  <c r="BF17"/>
  <c r="AX17"/>
  <c r="AP17"/>
  <c r="AH17"/>
  <c r="AB16"/>
  <c r="D16"/>
  <c r="AD15"/>
  <c r="F15"/>
  <c r="AG14"/>
  <c r="BC13"/>
  <c r="AU13"/>
  <c r="AM13"/>
  <c r="AE13"/>
  <c r="G13"/>
  <c r="AB12"/>
  <c r="D12"/>
  <c r="AB13"/>
  <c r="D13"/>
  <c r="AR13"/>
  <c r="BH13"/>
  <c r="AF14"/>
  <c r="H14"/>
  <c r="AF15"/>
  <c r="H15"/>
  <c r="AM17"/>
  <c r="BC17"/>
  <c r="AC19"/>
  <c r="E19"/>
  <c r="AC20"/>
  <c r="E20"/>
  <c r="AG29"/>
  <c r="AJ32"/>
  <c r="AZ32"/>
  <c r="AH33"/>
  <c r="AX33"/>
  <c r="AG34"/>
  <c r="AW34"/>
  <c r="AU35"/>
  <c r="AS36"/>
  <c r="BI36"/>
  <c r="AR37"/>
  <c r="BH37"/>
  <c r="AW38"/>
  <c r="AP39"/>
  <c r="AK40"/>
  <c r="BH41"/>
  <c r="BA42"/>
  <c r="AY43"/>
  <c r="AR44"/>
  <c r="AH45"/>
  <c r="BH47"/>
  <c r="BH48"/>
  <c r="AZ49"/>
  <c r="AD50"/>
  <c r="F50"/>
  <c r="AN52"/>
  <c r="AX53"/>
  <c r="AF37"/>
  <c r="H37"/>
  <c r="AD24"/>
  <c r="F24"/>
  <c r="BH19"/>
  <c r="BH63"/>
  <c r="AO20"/>
  <c r="AO64"/>
  <c r="AZ25"/>
  <c r="AZ70"/>
  <c r="AA32"/>
  <c r="C32"/>
  <c r="AE12"/>
  <c r="G12"/>
  <c r="AC13"/>
  <c r="E13"/>
  <c r="AS13"/>
  <c r="BI13"/>
  <c r="AN17"/>
  <c r="BD17"/>
  <c r="AD19"/>
  <c r="F19"/>
  <c r="AF20"/>
  <c r="H20"/>
  <c r="AG26"/>
  <c r="AM32"/>
  <c r="BC32"/>
  <c r="AK33"/>
  <c r="BA33"/>
  <c r="AH34"/>
  <c r="AX34"/>
  <c r="AH35"/>
  <c r="AX35"/>
  <c r="AV36"/>
  <c r="AS37"/>
  <c r="BI37"/>
  <c r="BB38"/>
  <c r="AU39"/>
  <c r="AN40"/>
  <c r="AG41"/>
  <c r="BF42"/>
  <c r="BB43"/>
  <c r="AW44"/>
  <c r="AK45"/>
  <c r="AG46"/>
  <c r="BI48"/>
  <c r="BE49"/>
  <c r="AE50"/>
  <c r="G50"/>
  <c r="AG51"/>
  <c r="BC52"/>
  <c r="AF32"/>
  <c r="H32"/>
  <c r="AC34"/>
  <c r="E34"/>
  <c r="BC25"/>
  <c r="BC70"/>
  <c r="AG12"/>
  <c r="AG13"/>
  <c r="AW13"/>
  <c r="AB17"/>
  <c r="D17"/>
  <c r="AR17"/>
  <c r="BH17"/>
  <c r="AG18"/>
  <c r="AG24"/>
  <c r="AO32"/>
  <c r="BE32"/>
  <c r="AO33"/>
  <c r="BE33"/>
  <c r="AL34"/>
  <c r="BB34"/>
  <c r="AJ35"/>
  <c r="AZ35"/>
  <c r="AJ36"/>
  <c r="AZ36"/>
  <c r="AG37"/>
  <c r="AW37"/>
  <c r="BF38"/>
  <c r="BC39"/>
  <c r="AZ40"/>
  <c r="AK41"/>
  <c r="AH42"/>
  <c r="BC44"/>
  <c r="AW45"/>
  <c r="AO46"/>
  <c r="AM47"/>
  <c r="AK48"/>
  <c r="BI49"/>
  <c r="AN50"/>
  <c r="AJ51"/>
  <c r="BH52"/>
  <c r="AE36"/>
  <c r="G36"/>
  <c r="AC23"/>
  <c r="E23"/>
  <c r="AI12"/>
  <c r="AI57"/>
  <c r="AP14"/>
  <c r="AP58"/>
  <c r="BF28"/>
  <c r="BF73"/>
  <c r="AJ13"/>
  <c r="AZ13"/>
  <c r="AE17"/>
  <c r="G17"/>
  <c r="AU17"/>
  <c r="AG21"/>
  <c r="AR32"/>
  <c r="BH32"/>
  <c r="AP33"/>
  <c r="BF33"/>
  <c r="AO34"/>
  <c r="BE34"/>
  <c r="AM35"/>
  <c r="BC35"/>
  <c r="AK36"/>
  <c r="BA36"/>
  <c r="AJ37"/>
  <c r="AZ37"/>
  <c r="AH38"/>
  <c r="BF39"/>
  <c r="BA40"/>
  <c r="AR41"/>
  <c r="AK42"/>
  <c r="AI43"/>
  <c r="BH44"/>
  <c r="AX45"/>
  <c r="AT46"/>
  <c r="AR47"/>
  <c r="AR48"/>
  <c r="AJ49"/>
  <c r="AV50"/>
  <c r="AY51"/>
  <c r="AE29"/>
  <c r="G29"/>
  <c r="AB30"/>
  <c r="D30"/>
  <c r="BE12"/>
  <c r="BE57"/>
  <c r="AR14"/>
  <c r="AR58"/>
  <c r="AU15"/>
  <c r="AU59"/>
  <c r="BI28"/>
  <c r="BI73"/>
  <c r="AU61"/>
  <c r="AU60"/>
  <c r="AA33"/>
  <c r="C33"/>
  <c r="AA41"/>
  <c r="C41"/>
  <c r="AU31"/>
  <c r="AU76"/>
  <c r="AW30"/>
  <c r="AW75"/>
  <c r="AW29"/>
  <c r="AW74"/>
  <c r="AT28"/>
  <c r="AT73"/>
  <c r="AU27"/>
  <c r="AU72"/>
  <c r="AX26"/>
  <c r="AX71"/>
  <c r="BH25"/>
  <c r="BH70"/>
  <c r="AY25"/>
  <c r="AY70"/>
  <c r="AK25"/>
  <c r="AK70"/>
  <c r="BC24"/>
  <c r="BC68"/>
  <c r="AR24"/>
  <c r="AR68"/>
  <c r="AZ23"/>
  <c r="AZ67"/>
  <c r="AK23"/>
  <c r="AK67"/>
  <c r="BI22"/>
  <c r="BI66"/>
  <c r="AY22"/>
  <c r="AY66"/>
  <c r="AJ22"/>
  <c r="AJ66"/>
  <c r="BI21"/>
  <c r="BI65"/>
  <c r="AS21"/>
  <c r="AS65"/>
  <c r="AH21"/>
  <c r="AH65"/>
  <c r="BE20"/>
  <c r="BE64"/>
  <c r="AU20"/>
  <c r="AU64"/>
  <c r="AL20"/>
  <c r="AL64"/>
  <c r="BE19"/>
  <c r="BE63"/>
  <c r="AW19"/>
  <c r="AW63"/>
  <c r="AO19"/>
  <c r="AO63"/>
  <c r="BG18"/>
  <c r="BG62"/>
  <c r="AV18"/>
  <c r="AV62"/>
  <c r="AJ18"/>
  <c r="AJ62"/>
  <c r="BB16"/>
  <c r="BB60"/>
  <c r="AT16"/>
  <c r="AT61"/>
  <c r="AL16"/>
  <c r="AL61"/>
  <c r="BF15"/>
  <c r="BF59"/>
  <c r="AX15"/>
  <c r="AX59"/>
  <c r="AK15"/>
  <c r="AK59"/>
  <c r="BC14"/>
  <c r="BC58"/>
  <c r="AV14"/>
  <c r="AV58"/>
  <c r="AO14"/>
  <c r="AO58"/>
  <c r="AH14"/>
  <c r="AH58"/>
  <c r="BH12"/>
  <c r="BH57"/>
  <c r="BA12"/>
  <c r="BA57"/>
  <c r="AS12"/>
  <c r="AS57"/>
  <c r="AB21"/>
  <c r="D21"/>
  <c r="AB35"/>
  <c r="D35"/>
  <c r="AB42"/>
  <c r="D42"/>
  <c r="AB48"/>
  <c r="D48"/>
  <c r="AC27"/>
  <c r="E27"/>
  <c r="AC35"/>
  <c r="E35"/>
  <c r="AC42"/>
  <c r="E42"/>
  <c r="AC49"/>
  <c r="E49"/>
  <c r="AD27"/>
  <c r="F27"/>
  <c r="AD34"/>
  <c r="F34"/>
  <c r="AD40"/>
  <c r="F40"/>
  <c r="AD47"/>
  <c r="F47"/>
  <c r="AE25"/>
  <c r="G25"/>
  <c r="AE32"/>
  <c r="G32"/>
  <c r="AE39"/>
  <c r="G39"/>
  <c r="AE46"/>
  <c r="G46"/>
  <c r="AF25"/>
  <c r="H25"/>
  <c r="AF33"/>
  <c r="H33"/>
  <c r="AF40"/>
  <c r="H40"/>
  <c r="AF48"/>
  <c r="H48"/>
  <c r="BB53"/>
  <c r="AT53"/>
  <c r="AL53"/>
  <c r="AD53"/>
  <c r="F53"/>
  <c r="BG52"/>
  <c r="AY52"/>
  <c r="AQ52"/>
  <c r="AI52"/>
  <c r="AA52"/>
  <c r="C52"/>
  <c r="BD51"/>
  <c r="AV51"/>
  <c r="AN51"/>
  <c r="AF51"/>
  <c r="H51"/>
  <c r="BI50"/>
  <c r="BA50"/>
  <c r="AA24"/>
  <c r="C24"/>
  <c r="AA44"/>
  <c r="C44"/>
  <c r="AR31"/>
  <c r="AR76"/>
  <c r="AV30"/>
  <c r="AV75"/>
  <c r="AP29"/>
  <c r="AP74"/>
  <c r="AS28"/>
  <c r="AS73"/>
  <c r="AP27"/>
  <c r="AP72"/>
  <c r="AT26"/>
  <c r="AT71"/>
  <c r="BG25"/>
  <c r="BG70"/>
  <c r="AW25"/>
  <c r="AW70"/>
  <c r="AJ25"/>
  <c r="AJ70"/>
  <c r="BB24"/>
  <c r="BB68"/>
  <c r="AN24"/>
  <c r="AN68"/>
  <c r="AW23"/>
  <c r="AW67"/>
  <c r="AJ23"/>
  <c r="AJ67"/>
  <c r="BH22"/>
  <c r="BH66"/>
  <c r="AW22"/>
  <c r="AW66"/>
  <c r="AH22"/>
  <c r="AH66"/>
  <c r="BH21"/>
  <c r="BH65"/>
  <c r="AR21"/>
  <c r="AR65"/>
  <c r="BD20"/>
  <c r="BD64"/>
  <c r="AS20"/>
  <c r="AS64"/>
  <c r="AK20"/>
  <c r="AK64"/>
  <c r="BD19"/>
  <c r="BD63"/>
  <c r="AV19"/>
  <c r="AV63"/>
  <c r="AN19"/>
  <c r="AN63"/>
  <c r="BA18"/>
  <c r="BA62"/>
  <c r="AP18"/>
  <c r="AP62"/>
  <c r="AI18"/>
  <c r="AI62"/>
  <c r="BI16"/>
  <c r="BI61"/>
  <c r="BA16"/>
  <c r="BA61"/>
  <c r="AS16"/>
  <c r="AS60"/>
  <c r="AK16"/>
  <c r="AK60"/>
  <c r="BE15"/>
  <c r="BE59"/>
  <c r="AQ15"/>
  <c r="AQ59"/>
  <c r="AJ15"/>
  <c r="AJ59"/>
  <c r="BB14"/>
  <c r="BB58"/>
  <c r="AN14"/>
  <c r="AN58"/>
  <c r="BG12"/>
  <c r="BG57"/>
  <c r="AZ12"/>
  <c r="AZ57"/>
  <c r="AR12"/>
  <c r="AR57"/>
  <c r="AK12"/>
  <c r="AK57"/>
  <c r="AA12"/>
  <c r="C12"/>
  <c r="AB22"/>
  <c r="D22"/>
  <c r="AB28"/>
  <c r="D28"/>
  <c r="AB36"/>
  <c r="D36"/>
  <c r="AB43"/>
  <c r="D43"/>
  <c r="AB49"/>
  <c r="D49"/>
  <c r="AC28"/>
  <c r="E28"/>
  <c r="AC36"/>
  <c r="E36"/>
  <c r="AC43"/>
  <c r="E43"/>
  <c r="AD21"/>
  <c r="F21"/>
  <c r="AD28"/>
  <c r="F28"/>
  <c r="AD35"/>
  <c r="F35"/>
  <c r="AD48"/>
  <c r="F48"/>
  <c r="AE26"/>
  <c r="G26"/>
  <c r="AE33"/>
  <c r="G33"/>
  <c r="AE40"/>
  <c r="G40"/>
  <c r="AE47"/>
  <c r="G47"/>
  <c r="AF26"/>
  <c r="H26"/>
  <c r="AF34"/>
  <c r="H34"/>
  <c r="AF41"/>
  <c r="H41"/>
  <c r="AF49"/>
  <c r="H49"/>
  <c r="BI53"/>
  <c r="BA53"/>
  <c r="AS53"/>
  <c r="AK53"/>
  <c r="AC53"/>
  <c r="E53"/>
  <c r="BF52"/>
  <c r="AX52"/>
  <c r="AP52"/>
  <c r="AH52"/>
  <c r="BC51"/>
  <c r="AU51"/>
  <c r="AM51"/>
  <c r="AA48"/>
  <c r="C48"/>
  <c r="AO30"/>
  <c r="AO75"/>
  <c r="AO29"/>
  <c r="AO74"/>
  <c r="AO28"/>
  <c r="AO73"/>
  <c r="AM27"/>
  <c r="AM72"/>
  <c r="AQ26"/>
  <c r="AQ71"/>
  <c r="BF25"/>
  <c r="BF70"/>
  <c r="AV25"/>
  <c r="AV70"/>
  <c r="AI25"/>
  <c r="AI70"/>
  <c r="BA24"/>
  <c r="BA68"/>
  <c r="AM24"/>
  <c r="AM68"/>
  <c r="AV23"/>
  <c r="AV67"/>
  <c r="BG22"/>
  <c r="BG66"/>
  <c r="AU22"/>
  <c r="AU66"/>
  <c r="BD21"/>
  <c r="BD65"/>
  <c r="AP21"/>
  <c r="AP65"/>
  <c r="BC20"/>
  <c r="BC64"/>
  <c r="AR20"/>
  <c r="AR64"/>
  <c r="AJ20"/>
  <c r="AJ64"/>
  <c r="BC19"/>
  <c r="BC63"/>
  <c r="AU19"/>
  <c r="AU63"/>
  <c r="AM19"/>
  <c r="AM63"/>
  <c r="BF18"/>
  <c r="BF62"/>
  <c r="AZ18"/>
  <c r="AZ62"/>
  <c r="AU18"/>
  <c r="AU62"/>
  <c r="AH18"/>
  <c r="AH62"/>
  <c r="BH16"/>
  <c r="BH60"/>
  <c r="AZ16"/>
  <c r="AZ61"/>
  <c r="AR16"/>
  <c r="AR60"/>
  <c r="AJ16"/>
  <c r="AJ61"/>
  <c r="BD15"/>
  <c r="BD59"/>
  <c r="AW15"/>
  <c r="AW59"/>
  <c r="AP15"/>
  <c r="AP59"/>
  <c r="AI15"/>
  <c r="AI59"/>
  <c r="BI14"/>
  <c r="BI58"/>
  <c r="BA14"/>
  <c r="BA58"/>
  <c r="AU14"/>
  <c r="AU58"/>
  <c r="AM14"/>
  <c r="AM58"/>
  <c r="BF12"/>
  <c r="BF57"/>
  <c r="AY12"/>
  <c r="AY57"/>
  <c r="AQ12"/>
  <c r="AQ57"/>
  <c r="AJ12"/>
  <c r="AJ57"/>
  <c r="AA13"/>
  <c r="C13"/>
  <c r="AA19"/>
  <c r="C19"/>
  <c r="AB23"/>
  <c r="D23"/>
  <c r="AB29"/>
  <c r="D29"/>
  <c r="AB37"/>
  <c r="D37"/>
  <c r="AB44"/>
  <c r="D44"/>
  <c r="AC21"/>
  <c r="E21"/>
  <c r="AC29"/>
  <c r="E29"/>
  <c r="AC44"/>
  <c r="E44"/>
  <c r="AD22"/>
  <c r="F22"/>
  <c r="AD41"/>
  <c r="F41"/>
  <c r="AD49"/>
  <c r="F49"/>
  <c r="AE27"/>
  <c r="G27"/>
  <c r="AE34"/>
  <c r="G34"/>
  <c r="AE41"/>
  <c r="G41"/>
  <c r="AE48"/>
  <c r="G48"/>
  <c r="AF27"/>
  <c r="H27"/>
  <c r="AF35"/>
  <c r="H35"/>
  <c r="AF42"/>
  <c r="H42"/>
  <c r="BH53"/>
  <c r="AZ53"/>
  <c r="AR53"/>
  <c r="AJ53"/>
  <c r="AB53"/>
  <c r="D53"/>
  <c r="BE52"/>
  <c r="AW52"/>
  <c r="AO52"/>
  <c r="AG52"/>
  <c r="BB51"/>
  <c r="AT51"/>
  <c r="AL51"/>
  <c r="AD51"/>
  <c r="F51"/>
  <c r="BG50"/>
  <c r="AY50"/>
  <c r="AA36"/>
  <c r="C36"/>
  <c r="AZ31"/>
  <c r="AZ76"/>
  <c r="BA30"/>
  <c r="BA75"/>
  <c r="BA29"/>
  <c r="BA74"/>
  <c r="BE28"/>
  <c r="BE73"/>
  <c r="BC27"/>
  <c r="BC72"/>
  <c r="BC26"/>
  <c r="BC71"/>
  <c r="AI26"/>
  <c r="AI71"/>
  <c r="BB25"/>
  <c r="BB70"/>
  <c r="AP25"/>
  <c r="AP70"/>
  <c r="BF24"/>
  <c r="BF68"/>
  <c r="AV24"/>
  <c r="AV68"/>
  <c r="AI24"/>
  <c r="AI68"/>
  <c r="BE23"/>
  <c r="BE67"/>
  <c r="AP23"/>
  <c r="AP67"/>
  <c r="BA22"/>
  <c r="BA66"/>
  <c r="AL22"/>
  <c r="AL66"/>
  <c r="AV21"/>
  <c r="AV65"/>
  <c r="AJ21"/>
  <c r="AJ65"/>
  <c r="AV20"/>
  <c r="AV64"/>
  <c r="AN20"/>
  <c r="AN64"/>
  <c r="BG19"/>
  <c r="BG63"/>
  <c r="AY19"/>
  <c r="AY63"/>
  <c r="AQ19"/>
  <c r="AQ63"/>
  <c r="AI19"/>
  <c r="AI63"/>
  <c r="BI18"/>
  <c r="BI62"/>
  <c r="BC18"/>
  <c r="BC62"/>
  <c r="AX18"/>
  <c r="AX62"/>
  <c r="AR18"/>
  <c r="AR62"/>
  <c r="AL18"/>
  <c r="AL62"/>
  <c r="BD16"/>
  <c r="BD61"/>
  <c r="AV16"/>
  <c r="AN16"/>
  <c r="AN60"/>
  <c r="BH15"/>
  <c r="BH59"/>
  <c r="AZ15"/>
  <c r="AZ59"/>
  <c r="AS15"/>
  <c r="AS59"/>
  <c r="BE14"/>
  <c r="BE58"/>
  <c r="AX14"/>
  <c r="AX58"/>
  <c r="AQ14"/>
  <c r="AQ58"/>
  <c r="AJ14"/>
  <c r="AJ58"/>
  <c r="AU12"/>
  <c r="AU57"/>
  <c r="AM12"/>
  <c r="AM57"/>
  <c r="AA16"/>
  <c r="C16"/>
  <c r="AA17"/>
  <c r="C17"/>
  <c r="AB33"/>
  <c r="D33"/>
  <c r="AB40"/>
  <c r="D40"/>
  <c r="AB47"/>
  <c r="D47"/>
  <c r="AC25"/>
  <c r="E25"/>
  <c r="AC33"/>
  <c r="E33"/>
  <c r="AC40"/>
  <c r="E40"/>
  <c r="AC47"/>
  <c r="E47"/>
  <c r="AD25"/>
  <c r="F25"/>
  <c r="AD32"/>
  <c r="F32"/>
  <c r="AD38"/>
  <c r="F38"/>
  <c r="AD45"/>
  <c r="F45"/>
  <c r="AE24"/>
  <c r="G24"/>
  <c r="AE30"/>
  <c r="G30"/>
  <c r="AE44"/>
  <c r="G44"/>
  <c r="AF23"/>
  <c r="H23"/>
  <c r="AF31"/>
  <c r="H31"/>
  <c r="AF38"/>
  <c r="H38"/>
  <c r="AF46"/>
  <c r="H46"/>
  <c r="BD53"/>
  <c r="AV53"/>
  <c r="AN53"/>
  <c r="AF53"/>
  <c r="H53"/>
  <c r="BI52"/>
  <c r="BA52"/>
  <c r="AS52"/>
  <c r="AK52"/>
  <c r="AC52"/>
  <c r="E52"/>
  <c r="BF51"/>
  <c r="AX51"/>
  <c r="AP51"/>
  <c r="AH51"/>
  <c r="BC50"/>
  <c r="AU50"/>
  <c r="AM50"/>
  <c r="AA25"/>
  <c r="C25"/>
  <c r="AZ60"/>
  <c r="BD60"/>
  <c r="AW61"/>
  <c r="BA60"/>
  <c r="AS61"/>
  <c r="AH61"/>
  <c r="BF60"/>
  <c r="BF61"/>
  <c r="BA20"/>
  <c r="BA64"/>
  <c r="BF20"/>
  <c r="BF64"/>
  <c r="AN21"/>
  <c r="AN65"/>
  <c r="AT21"/>
  <c r="AT65"/>
  <c r="AY21"/>
  <c r="AY65"/>
  <c r="BE21"/>
  <c r="BE65"/>
  <c r="AI22"/>
  <c r="AI66"/>
  <c r="AN22"/>
  <c r="AN66"/>
  <c r="AS22"/>
  <c r="AS66"/>
  <c r="AX22"/>
  <c r="AX66"/>
  <c r="BC22"/>
  <c r="BC66"/>
  <c r="AL23"/>
  <c r="AL67"/>
  <c r="BB23"/>
  <c r="BB67"/>
  <c r="BG23"/>
  <c r="BG67"/>
  <c r="AO24"/>
  <c r="AO68"/>
  <c r="AT24"/>
  <c r="AT68"/>
  <c r="BD24"/>
  <c r="BD68"/>
  <c r="BI24"/>
  <c r="BI68"/>
  <c r="AL25"/>
  <c r="AL70"/>
  <c r="BA25"/>
  <c r="BA70"/>
  <c r="AK26"/>
  <c r="AK71"/>
  <c r="AU26"/>
  <c r="AU71"/>
  <c r="BG26"/>
  <c r="BG71"/>
  <c r="AY27"/>
  <c r="AY72"/>
  <c r="AK28"/>
  <c r="AK73"/>
  <c r="AW28"/>
  <c r="AW73"/>
  <c r="AH29"/>
  <c r="AH74"/>
  <c r="AS29"/>
  <c r="AS74"/>
  <c r="BB29"/>
  <c r="BB74"/>
  <c r="AN30"/>
  <c r="AN75"/>
  <c r="AJ31"/>
  <c r="AJ76"/>
  <c r="BH31"/>
  <c r="BH76"/>
  <c r="AA40"/>
  <c r="C40"/>
  <c r="AA28"/>
  <c r="C28"/>
  <c r="AX20"/>
  <c r="AX64"/>
  <c r="BG20"/>
  <c r="BG64"/>
  <c r="AK21"/>
  <c r="AK65"/>
  <c r="BA21"/>
  <c r="BA65"/>
  <c r="BF21"/>
  <c r="BF65"/>
  <c r="AO22"/>
  <c r="AO66"/>
  <c r="AT22"/>
  <c r="AT66"/>
  <c r="BD22"/>
  <c r="BD66"/>
  <c r="AH23"/>
  <c r="AH67"/>
  <c r="AM23"/>
  <c r="AM67"/>
  <c r="AR23"/>
  <c r="AR67"/>
  <c r="AX23"/>
  <c r="AX67"/>
  <c r="BC23"/>
  <c r="BC67"/>
  <c r="BH23"/>
  <c r="BH67"/>
  <c r="AP24"/>
  <c r="AP68"/>
  <c r="AU24"/>
  <c r="AU68"/>
  <c r="AZ24"/>
  <c r="AZ68"/>
  <c r="AM25"/>
  <c r="AM70"/>
  <c r="AR25"/>
  <c r="AR70"/>
  <c r="AH27"/>
  <c r="AH72"/>
  <c r="AQ27"/>
  <c r="AQ72"/>
  <c r="BB27"/>
  <c r="BB72"/>
  <c r="AL28"/>
  <c r="AL73"/>
  <c r="BA28"/>
  <c r="BA73"/>
  <c r="AK29"/>
  <c r="AK74"/>
  <c r="AT29"/>
  <c r="AT74"/>
  <c r="BF29"/>
  <c r="BF74"/>
  <c r="AR30"/>
  <c r="AR75"/>
  <c r="BD30"/>
  <c r="BD75"/>
  <c r="AK31"/>
  <c r="AK76"/>
  <c r="AY31"/>
  <c r="AY76"/>
  <c r="AA49"/>
  <c r="C49"/>
  <c r="AT20"/>
  <c r="AT64"/>
  <c r="AY20"/>
  <c r="AY64"/>
  <c r="BH20"/>
  <c r="BH64"/>
  <c r="AL21"/>
  <c r="AL65"/>
  <c r="AQ21"/>
  <c r="AQ65"/>
  <c r="AW21"/>
  <c r="AW65"/>
  <c r="BB21"/>
  <c r="BB65"/>
  <c r="BG21"/>
  <c r="BG65"/>
  <c r="AP22"/>
  <c r="AP66"/>
  <c r="AV22"/>
  <c r="AV66"/>
  <c r="BE22"/>
  <c r="BE66"/>
  <c r="AI23"/>
  <c r="AI67"/>
  <c r="AN23"/>
  <c r="AN67"/>
  <c r="AT23"/>
  <c r="AT67"/>
  <c r="AY23"/>
  <c r="AY67"/>
  <c r="BD23"/>
  <c r="BD67"/>
  <c r="BI23"/>
  <c r="BI67"/>
  <c r="AH24"/>
  <c r="AH68"/>
  <c r="AQ24"/>
  <c r="AQ68"/>
  <c r="AN25"/>
  <c r="AN70"/>
  <c r="AS25"/>
  <c r="AS70"/>
  <c r="AX25"/>
  <c r="AX70"/>
  <c r="BD25"/>
  <c r="BD70"/>
  <c r="BI25"/>
  <c r="BI70"/>
  <c r="BB26"/>
  <c r="BB71"/>
  <c r="AT27"/>
  <c r="AT72"/>
  <c r="AP28"/>
  <c r="AP73"/>
  <c r="BB28"/>
  <c r="BB73"/>
  <c r="AX29"/>
  <c r="AX74"/>
  <c r="BI29"/>
  <c r="BI74"/>
  <c r="AS30"/>
  <c r="AS75"/>
  <c r="BH30"/>
  <c r="BH75"/>
  <c r="AO31"/>
  <c r="AO76"/>
  <c r="BC31"/>
  <c r="BC76"/>
  <c r="AA45"/>
  <c r="C45"/>
  <c r="AQ61"/>
  <c r="AY61"/>
  <c r="BG61"/>
  <c r="AQ31"/>
  <c r="AQ76"/>
  <c r="AM31"/>
  <c r="AM76"/>
  <c r="AI31"/>
  <c r="AI76"/>
  <c r="BH29"/>
  <c r="BH74"/>
  <c r="BD29"/>
  <c r="BD74"/>
  <c r="AZ29"/>
  <c r="AZ74"/>
  <c r="AV29"/>
  <c r="AV74"/>
  <c r="AR29"/>
  <c r="AR74"/>
  <c r="AN29"/>
  <c r="AN74"/>
  <c r="AJ29"/>
  <c r="AJ74"/>
  <c r="BI27"/>
  <c r="BI72"/>
  <c r="BE27"/>
  <c r="BE72"/>
  <c r="BA27"/>
  <c r="BA72"/>
  <c r="AW27"/>
  <c r="AW72"/>
  <c r="AS27"/>
  <c r="AS72"/>
  <c r="AO27"/>
  <c r="AO72"/>
  <c r="AK27"/>
  <c r="AK72"/>
  <c r="AA26"/>
  <c r="C26"/>
  <c r="AA30"/>
  <c r="C30"/>
  <c r="AA34"/>
  <c r="C34"/>
  <c r="AA38"/>
  <c r="C38"/>
  <c r="AA42"/>
  <c r="C42"/>
  <c r="AA46"/>
  <c r="C46"/>
  <c r="BF31"/>
  <c r="BF76"/>
  <c r="BB31"/>
  <c r="BB76"/>
  <c r="AX31"/>
  <c r="AX76"/>
  <c r="AT31"/>
  <c r="AT76"/>
  <c r="BG30"/>
  <c r="BG75"/>
  <c r="BC30"/>
  <c r="BC75"/>
  <c r="AY30"/>
  <c r="AY75"/>
  <c r="AU30"/>
  <c r="AU75"/>
  <c r="AQ30"/>
  <c r="AQ75"/>
  <c r="AM30"/>
  <c r="AM75"/>
  <c r="AI30"/>
  <c r="AI75"/>
  <c r="BH28"/>
  <c r="BH73"/>
  <c r="BD28"/>
  <c r="BD73"/>
  <c r="AZ28"/>
  <c r="AZ73"/>
  <c r="AV28"/>
  <c r="AV73"/>
  <c r="AR28"/>
  <c r="AR73"/>
  <c r="AN28"/>
  <c r="AN73"/>
  <c r="AJ28"/>
  <c r="AJ73"/>
  <c r="BI26"/>
  <c r="BI71"/>
  <c r="BE26"/>
  <c r="BE71"/>
  <c r="BA26"/>
  <c r="BA71"/>
  <c r="AW26"/>
  <c r="AW71"/>
  <c r="AS26"/>
  <c r="AS71"/>
  <c r="AO26"/>
  <c r="AO71"/>
  <c r="AP31"/>
  <c r="AP76"/>
  <c r="AL31"/>
  <c r="AL76"/>
  <c r="AH31"/>
  <c r="AH76"/>
  <c r="BG29"/>
  <c r="BG74"/>
  <c r="BC29"/>
  <c r="BC74"/>
  <c r="AY29"/>
  <c r="AY74"/>
  <c r="AU29"/>
  <c r="AU74"/>
  <c r="AQ29"/>
  <c r="AQ74"/>
  <c r="AM29"/>
  <c r="AM74"/>
  <c r="AI29"/>
  <c r="AI74"/>
  <c r="BH27"/>
  <c r="BH72"/>
  <c r="BD27"/>
  <c r="BD72"/>
  <c r="AZ27"/>
  <c r="AZ72"/>
  <c r="AV27"/>
  <c r="AV72"/>
  <c r="AR27"/>
  <c r="AR72"/>
  <c r="AN27"/>
  <c r="AN72"/>
  <c r="AJ27"/>
  <c r="AJ72"/>
  <c r="AA27"/>
  <c r="C27"/>
  <c r="AA31"/>
  <c r="C31"/>
  <c r="AA35"/>
  <c r="C35"/>
  <c r="AA39"/>
  <c r="C39"/>
  <c r="AA43"/>
  <c r="C43"/>
  <c r="AA47"/>
  <c r="C47"/>
  <c r="BI31"/>
  <c r="BI76"/>
  <c r="BE31"/>
  <c r="BE76"/>
  <c r="BA31"/>
  <c r="BA76"/>
  <c r="AW31"/>
  <c r="AW76"/>
  <c r="AS31"/>
  <c r="AS76"/>
  <c r="BF30"/>
  <c r="BF75"/>
  <c r="BB30"/>
  <c r="BB75"/>
  <c r="AX30"/>
  <c r="AX75"/>
  <c r="AT30"/>
  <c r="AT75"/>
  <c r="AP30"/>
  <c r="AP75"/>
  <c r="AL30"/>
  <c r="AL75"/>
  <c r="AH30"/>
  <c r="AH75"/>
  <c r="BG28"/>
  <c r="BG73"/>
  <c r="BC28"/>
  <c r="BC73"/>
  <c r="AY28"/>
  <c r="AY73"/>
  <c r="AU28"/>
  <c r="AU73"/>
  <c r="AQ28"/>
  <c r="AQ73"/>
  <c r="AM28"/>
  <c r="AM73"/>
  <c r="AI28"/>
  <c r="AI73"/>
  <c r="BH26"/>
  <c r="BH71"/>
  <c r="BD26"/>
  <c r="BD71"/>
  <c r="AZ26"/>
  <c r="AZ71"/>
  <c r="AV26"/>
  <c r="AV71"/>
  <c r="AR26"/>
  <c r="AR71"/>
  <c r="AN26"/>
  <c r="AN71"/>
  <c r="AJ26"/>
  <c r="AJ71"/>
  <c r="AM60"/>
  <c r="AK61"/>
  <c r="L23"/>
  <c r="K23"/>
  <c r="AT60"/>
  <c r="L20"/>
  <c r="K20"/>
  <c r="L50"/>
  <c r="K50"/>
  <c r="BH61"/>
  <c r="L17"/>
  <c r="K17"/>
  <c r="L37"/>
  <c r="K37"/>
  <c r="L52"/>
  <c r="K52"/>
  <c r="L15"/>
  <c r="K15"/>
  <c r="BI60"/>
  <c r="AX61"/>
  <c r="L45"/>
  <c r="K45"/>
  <c r="BC61"/>
  <c r="L12"/>
  <c r="K12"/>
  <c r="E55"/>
  <c r="AO61"/>
  <c r="L13"/>
  <c r="K13"/>
  <c r="L14"/>
  <c r="K14"/>
  <c r="L25"/>
  <c r="K25"/>
  <c r="L41"/>
  <c r="K41"/>
  <c r="L36"/>
  <c r="K36"/>
  <c r="BE61"/>
  <c r="L16"/>
  <c r="K16"/>
  <c r="L33"/>
  <c r="K33"/>
  <c r="AI61"/>
  <c r="AN61"/>
  <c r="AP61"/>
  <c r="L51"/>
  <c r="K51"/>
  <c r="L24"/>
  <c r="K24"/>
  <c r="L19"/>
  <c r="K19"/>
  <c r="AJ60"/>
  <c r="L21"/>
  <c r="K21"/>
  <c r="AF63"/>
  <c r="L44"/>
  <c r="K44"/>
  <c r="AL60"/>
  <c r="AR61"/>
  <c r="L47"/>
  <c r="K47"/>
  <c r="L30"/>
  <c r="K30"/>
  <c r="BB61"/>
  <c r="AF58"/>
  <c r="L53"/>
  <c r="K53"/>
  <c r="L29"/>
  <c r="K29"/>
  <c r="AF57"/>
  <c r="AF59"/>
  <c r="AF62"/>
  <c r="G55"/>
  <c r="L32"/>
  <c r="K32"/>
  <c r="L48"/>
  <c r="K48"/>
  <c r="F55"/>
  <c r="L22"/>
  <c r="K22"/>
  <c r="L28"/>
  <c r="K28"/>
  <c r="L27"/>
  <c r="K27"/>
  <c r="H55"/>
  <c r="D55"/>
  <c r="L42"/>
  <c r="K42"/>
  <c r="L40"/>
  <c r="K40"/>
  <c r="L38"/>
  <c r="K38"/>
  <c r="L39"/>
  <c r="K39"/>
  <c r="L34"/>
  <c r="K34"/>
  <c r="L43"/>
  <c r="K43"/>
  <c r="L35"/>
  <c r="K35"/>
  <c r="AF70"/>
  <c r="L46"/>
  <c r="K46"/>
  <c r="AF64"/>
  <c r="L49"/>
  <c r="K49"/>
  <c r="L31"/>
  <c r="K31"/>
  <c r="L26"/>
  <c r="K26"/>
  <c r="AV61"/>
  <c r="AV60"/>
  <c r="AF67"/>
  <c r="AF68"/>
  <c r="AF66"/>
  <c r="AF65"/>
  <c r="AF72"/>
  <c r="AF73"/>
  <c r="AF71"/>
  <c r="AF60"/>
  <c r="C55"/>
  <c r="AF75"/>
  <c r="AF76"/>
  <c r="AF74"/>
  <c r="AF61"/>
  <c r="L55"/>
  <c r="K55"/>
  <c r="B55"/>
  <c r="C56"/>
  <c r="K8" i="25"/>
  <c r="A13"/>
  <c r="D9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K7"/>
  <c r="K6"/>
  <c r="K3"/>
  <c r="N4"/>
  <c r="M13"/>
  <c r="D10"/>
  <c r="C13"/>
  <c r="D7"/>
  <c r="D8"/>
  <c r="D13"/>
  <c r="I13"/>
  <c r="M14"/>
  <c r="C14"/>
  <c r="D14"/>
  <c r="I14"/>
  <c r="M15"/>
  <c r="C15"/>
  <c r="D15"/>
  <c r="I15"/>
  <c r="M16"/>
  <c r="C16"/>
  <c r="D16"/>
  <c r="I16"/>
  <c r="M17"/>
  <c r="C17"/>
  <c r="D17"/>
  <c r="I17"/>
  <c r="M18"/>
  <c r="C18"/>
  <c r="D18"/>
  <c r="I18"/>
  <c r="M19"/>
  <c r="C19"/>
  <c r="D19"/>
  <c r="I19"/>
  <c r="M20"/>
  <c r="C20"/>
  <c r="D20"/>
  <c r="I20"/>
  <c r="M21"/>
  <c r="C21"/>
  <c r="D21"/>
  <c r="I21"/>
  <c r="M22"/>
  <c r="C22"/>
  <c r="D22"/>
  <c r="I22"/>
  <c r="M23"/>
  <c r="C23"/>
  <c r="D23"/>
  <c r="I23"/>
  <c r="M24"/>
  <c r="C24"/>
  <c r="D24"/>
  <c r="I24"/>
  <c r="M25"/>
  <c r="C25"/>
  <c r="D25"/>
  <c r="I25"/>
  <c r="M26"/>
  <c r="C26"/>
  <c r="D26"/>
  <c r="I26"/>
  <c r="M27"/>
  <c r="C27"/>
  <c r="D27"/>
  <c r="I27"/>
  <c r="M28"/>
  <c r="C28"/>
  <c r="D28"/>
  <c r="I28"/>
  <c r="M29"/>
  <c r="C29"/>
  <c r="D29"/>
  <c r="I29"/>
  <c r="M30"/>
  <c r="C30"/>
  <c r="D30"/>
  <c r="I30"/>
  <c r="M31"/>
  <c r="C31"/>
  <c r="D31"/>
  <c r="I31"/>
  <c r="M32"/>
  <c r="C32"/>
  <c r="D32"/>
  <c r="I32"/>
  <c r="M33"/>
  <c r="C33"/>
  <c r="D33"/>
  <c r="I33"/>
  <c r="M34"/>
  <c r="C34"/>
  <c r="D34"/>
  <c r="I34"/>
  <c r="M35"/>
  <c r="C35"/>
  <c r="D35"/>
  <c r="I35"/>
  <c r="M36"/>
  <c r="C36"/>
  <c r="D36"/>
  <c r="I36"/>
  <c r="M37"/>
  <c r="C37"/>
  <c r="D37"/>
  <c r="I37"/>
  <c r="M38"/>
  <c r="C38"/>
  <c r="D38"/>
  <c r="I38"/>
  <c r="M39"/>
  <c r="C39"/>
  <c r="D39"/>
  <c r="I39"/>
  <c r="M40"/>
  <c r="C40"/>
  <c r="D40"/>
  <c r="I40"/>
  <c r="M41"/>
  <c r="C41"/>
  <c r="D41"/>
  <c r="I41"/>
  <c r="M42"/>
  <c r="C42"/>
  <c r="D42"/>
  <c r="I42"/>
  <c r="M43"/>
  <c r="C43"/>
  <c r="D43"/>
  <c r="I43"/>
  <c r="M44"/>
  <c r="C44"/>
  <c r="D44"/>
  <c r="I44"/>
  <c r="M45"/>
  <c r="C45"/>
  <c r="D45"/>
  <c r="I45"/>
  <c r="M46"/>
  <c r="C46"/>
  <c r="D46"/>
  <c r="I46"/>
  <c r="M47"/>
  <c r="C47"/>
  <c r="D47"/>
  <c r="I47"/>
  <c r="M48"/>
  <c r="C48"/>
  <c r="D48"/>
  <c r="I48"/>
  <c r="M49"/>
  <c r="C49"/>
  <c r="D49"/>
  <c r="I49"/>
  <c r="M50"/>
  <c r="C50"/>
  <c r="D50"/>
  <c r="I50"/>
  <c r="M51"/>
  <c r="C51"/>
  <c r="D51"/>
  <c r="I51"/>
  <c r="M52"/>
  <c r="C52"/>
  <c r="D52"/>
  <c r="I52"/>
  <c r="M53"/>
  <c r="C53"/>
  <c r="D53"/>
  <c r="I53"/>
  <c r="M54"/>
  <c r="C54"/>
  <c r="D54"/>
  <c r="I54"/>
  <c r="I58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6"/>
  <c r="H55"/>
  <c r="H58"/>
  <c r="D58"/>
  <c r="C58"/>
  <c r="I57"/>
  <c r="D57"/>
  <c r="C57"/>
  <c r="I56"/>
  <c r="D56"/>
  <c r="C56"/>
  <c r="I55"/>
  <c r="D55"/>
  <c r="C55"/>
  <c r="H57"/>
  <c r="N5"/>
  <c r="E58"/>
  <c r="E57"/>
  <c r="E56"/>
  <c r="E55"/>
  <c r="K4"/>
  <c r="B26"/>
  <c r="G26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13"/>
  <c r="J58"/>
  <c r="J57"/>
  <c r="J56"/>
  <c r="J55"/>
  <c r="B13"/>
  <c r="B14"/>
  <c r="B15"/>
  <c r="B16"/>
  <c r="B17"/>
  <c r="B18"/>
  <c r="B19"/>
  <c r="B20"/>
  <c r="B21"/>
  <c r="B22"/>
  <c r="B23"/>
  <c r="B24"/>
  <c r="B25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8"/>
  <c r="B57"/>
  <c r="B56"/>
  <c r="B55"/>
  <c r="G27"/>
  <c r="G18"/>
  <c r="G34"/>
  <c r="G50"/>
  <c r="G19"/>
  <c r="G35"/>
  <c r="G51"/>
  <c r="G39"/>
  <c r="G20"/>
  <c r="G36"/>
  <c r="G52"/>
  <c r="G23"/>
  <c r="G28"/>
  <c r="G44"/>
  <c r="G15"/>
  <c r="G31"/>
  <c r="G47"/>
  <c r="G43"/>
  <c r="G42"/>
  <c r="G21"/>
  <c r="G29"/>
  <c r="G37"/>
  <c r="G45"/>
  <c r="G53"/>
  <c r="G14"/>
  <c r="G22"/>
  <c r="G30"/>
  <c r="G38"/>
  <c r="G46"/>
  <c r="G54"/>
  <c r="G16"/>
  <c r="G24"/>
  <c r="G32"/>
  <c r="G40"/>
  <c r="G48"/>
  <c r="G17"/>
  <c r="G25"/>
  <c r="G33"/>
  <c r="G41"/>
  <c r="G49"/>
  <c r="F51"/>
  <c r="K51"/>
  <c r="F23"/>
  <c r="K23"/>
  <c r="F37"/>
  <c r="K37"/>
  <c r="F46"/>
  <c r="K46"/>
  <c r="F35"/>
  <c r="K35"/>
  <c r="F49"/>
  <c r="K49"/>
  <c r="F16"/>
  <c r="K16"/>
  <c r="F30"/>
  <c r="K30"/>
  <c r="F28"/>
  <c r="K28"/>
  <c r="F53"/>
  <c r="K53"/>
  <c r="F48"/>
  <c r="K48"/>
  <c r="F39"/>
  <c r="K39"/>
  <c r="F52"/>
  <c r="K52"/>
  <c r="F15"/>
  <c r="K15"/>
  <c r="F41"/>
  <c r="K41"/>
  <c r="F20"/>
  <c r="K20"/>
  <c r="G13"/>
  <c r="G57"/>
  <c r="G55"/>
  <c r="G58"/>
  <c r="G56"/>
  <c r="F25"/>
  <c r="K25"/>
  <c r="F50"/>
  <c r="K50"/>
  <c r="F17"/>
  <c r="K17"/>
  <c r="F19"/>
  <c r="K19"/>
  <c r="F33"/>
  <c r="K33"/>
  <c r="F32"/>
  <c r="K32"/>
  <c r="F40"/>
  <c r="K40"/>
  <c r="F45"/>
  <c r="K45"/>
  <c r="F54"/>
  <c r="K54"/>
  <c r="F36"/>
  <c r="K36"/>
  <c r="F22"/>
  <c r="K22"/>
  <c r="F47"/>
  <c r="K47"/>
  <c r="F42"/>
  <c r="K42"/>
  <c r="F43"/>
  <c r="K43"/>
  <c r="F27"/>
  <c r="K27"/>
  <c r="F24"/>
  <c r="K24"/>
  <c r="F31"/>
  <c r="K31"/>
  <c r="F38"/>
  <c r="K38"/>
  <c r="F29"/>
  <c r="K29"/>
  <c r="F44"/>
  <c r="K44"/>
  <c r="F21"/>
  <c r="K21"/>
  <c r="F26"/>
  <c r="K26"/>
  <c r="F34"/>
  <c r="K34"/>
  <c r="F14"/>
  <c r="K14"/>
  <c r="F18"/>
  <c r="K18"/>
  <c r="F13"/>
  <c r="F58"/>
  <c r="F57"/>
  <c r="F56"/>
  <c r="F55"/>
  <c r="K13"/>
  <c r="K58"/>
  <c r="K57"/>
  <c r="K55"/>
  <c r="K56"/>
  <c r="L5" i="56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L8"/>
  <c r="O4"/>
  <c r="L4"/>
  <c r="I1"/>
  <c r="E4"/>
  <c r="E3"/>
  <c r="O5"/>
  <c r="E7"/>
  <c r="A13"/>
  <c r="E9"/>
  <c r="E10"/>
  <c r="E8"/>
  <c r="A14"/>
  <c r="E13"/>
  <c r="J13"/>
  <c r="N13"/>
  <c r="D13"/>
  <c r="I13"/>
  <c r="A15"/>
  <c r="N14"/>
  <c r="D14"/>
  <c r="J14"/>
  <c r="E14"/>
  <c r="I14"/>
  <c r="J15"/>
  <c r="A16"/>
  <c r="N15"/>
  <c r="D15"/>
  <c r="E15"/>
  <c r="I15"/>
  <c r="N16"/>
  <c r="D16"/>
  <c r="E16"/>
  <c r="A17"/>
  <c r="J16"/>
  <c r="I16"/>
  <c r="A18"/>
  <c r="E17"/>
  <c r="J17"/>
  <c r="N17"/>
  <c r="D17"/>
  <c r="I17"/>
  <c r="A19"/>
  <c r="N18"/>
  <c r="D18"/>
  <c r="E18"/>
  <c r="J18"/>
  <c r="I18"/>
  <c r="A20"/>
  <c r="J19"/>
  <c r="E19"/>
  <c r="N19"/>
  <c r="D19"/>
  <c r="I19"/>
  <c r="N20"/>
  <c r="D20"/>
  <c r="E20"/>
  <c r="A21"/>
  <c r="J20"/>
  <c r="I20"/>
  <c r="E21"/>
  <c r="A22"/>
  <c r="N21"/>
  <c r="D21"/>
  <c r="J21"/>
  <c r="I21"/>
  <c r="A23"/>
  <c r="N22"/>
  <c r="D22"/>
  <c r="J22"/>
  <c r="E22"/>
  <c r="I22"/>
  <c r="J23"/>
  <c r="A24"/>
  <c r="N23"/>
  <c r="D23"/>
  <c r="E23"/>
  <c r="I23"/>
  <c r="N24"/>
  <c r="D24"/>
  <c r="E24"/>
  <c r="A25"/>
  <c r="J24"/>
  <c r="I24"/>
  <c r="A26"/>
  <c r="E25"/>
  <c r="J25"/>
  <c r="N25"/>
  <c r="D25"/>
  <c r="I25"/>
  <c r="A27"/>
  <c r="N26"/>
  <c r="D26"/>
  <c r="E26"/>
  <c r="J26"/>
  <c r="I26"/>
  <c r="A28"/>
  <c r="J27"/>
  <c r="N27"/>
  <c r="D27"/>
  <c r="E27"/>
  <c r="I27"/>
  <c r="N28"/>
  <c r="D28"/>
  <c r="E28"/>
  <c r="A29"/>
  <c r="J28"/>
  <c r="I28"/>
  <c r="E29"/>
  <c r="A30"/>
  <c r="J29"/>
  <c r="N29"/>
  <c r="D29"/>
  <c r="I29"/>
  <c r="A31"/>
  <c r="N30"/>
  <c r="D30"/>
  <c r="E30"/>
  <c r="J30"/>
  <c r="I30"/>
  <c r="J31"/>
  <c r="A32"/>
  <c r="E31"/>
  <c r="N31"/>
  <c r="D31"/>
  <c r="I31"/>
  <c r="N32"/>
  <c r="D32"/>
  <c r="E32"/>
  <c r="J32"/>
  <c r="A33"/>
  <c r="I32"/>
  <c r="A34"/>
  <c r="E33"/>
  <c r="J33"/>
  <c r="N33"/>
  <c r="D33"/>
  <c r="I33"/>
  <c r="A35"/>
  <c r="N34"/>
  <c r="D34"/>
  <c r="J34"/>
  <c r="E34"/>
  <c r="I34"/>
  <c r="A36"/>
  <c r="J35"/>
  <c r="N35"/>
  <c r="D35"/>
  <c r="E35"/>
  <c r="I35"/>
  <c r="N36"/>
  <c r="D36"/>
  <c r="E36"/>
  <c r="J36"/>
  <c r="A37"/>
  <c r="I36"/>
  <c r="A38"/>
  <c r="E37"/>
  <c r="N37"/>
  <c r="D37"/>
  <c r="J37"/>
  <c r="I37"/>
  <c r="A39"/>
  <c r="N38"/>
  <c r="D38"/>
  <c r="J38"/>
  <c r="E38"/>
  <c r="I38"/>
  <c r="J39"/>
  <c r="A40"/>
  <c r="E39"/>
  <c r="N39"/>
  <c r="D39"/>
  <c r="I39"/>
  <c r="N40"/>
  <c r="D40"/>
  <c r="E40"/>
  <c r="A41"/>
  <c r="J40"/>
  <c r="I40"/>
  <c r="A42"/>
  <c r="E41"/>
  <c r="N41"/>
  <c r="D41"/>
  <c r="J41"/>
  <c r="I41"/>
  <c r="A43"/>
  <c r="N42"/>
  <c r="D42"/>
  <c r="J42"/>
  <c r="E42"/>
  <c r="I42"/>
  <c r="A44"/>
  <c r="J43"/>
  <c r="N43"/>
  <c r="D43"/>
  <c r="E43"/>
  <c r="I43"/>
  <c r="N44"/>
  <c r="D44"/>
  <c r="E44"/>
  <c r="A45"/>
  <c r="J44"/>
  <c r="I44"/>
  <c r="A46"/>
  <c r="E45"/>
  <c r="N45"/>
  <c r="D45"/>
  <c r="J45"/>
  <c r="I45"/>
  <c r="A47"/>
  <c r="N46"/>
  <c r="D46"/>
  <c r="J46"/>
  <c r="E46"/>
  <c r="I46"/>
  <c r="J47"/>
  <c r="A48"/>
  <c r="N47"/>
  <c r="D47"/>
  <c r="E47"/>
  <c r="I47"/>
  <c r="A49"/>
  <c r="N48"/>
  <c r="D48"/>
  <c r="E48"/>
  <c r="J48"/>
  <c r="I48"/>
  <c r="A50"/>
  <c r="N49"/>
  <c r="D49"/>
  <c r="J49"/>
  <c r="E49"/>
  <c r="I49"/>
  <c r="J50"/>
  <c r="A51"/>
  <c r="N50"/>
  <c r="D50"/>
  <c r="E50"/>
  <c r="I50"/>
  <c r="A52"/>
  <c r="N51"/>
  <c r="D51"/>
  <c r="E51"/>
  <c r="J51"/>
  <c r="I51"/>
  <c r="J52"/>
  <c r="N52"/>
  <c r="D52"/>
  <c r="E52"/>
  <c r="A53"/>
  <c r="I52"/>
  <c r="N53"/>
  <c r="D53"/>
  <c r="E53"/>
  <c r="E54"/>
  <c r="A54"/>
  <c r="J53"/>
  <c r="I53"/>
  <c r="J54"/>
  <c r="N54"/>
  <c r="D54"/>
  <c r="E56"/>
  <c r="E58"/>
  <c r="E57"/>
  <c r="E55"/>
  <c r="D58"/>
  <c r="D57"/>
  <c r="D56"/>
  <c r="D55"/>
  <c r="I54"/>
  <c r="J55"/>
  <c r="J57"/>
  <c r="J56"/>
  <c r="J58"/>
  <c r="I57"/>
  <c r="I58"/>
  <c r="I56"/>
  <c r="I55"/>
  <c r="C13"/>
  <c r="K14"/>
  <c r="C14"/>
  <c r="B14"/>
  <c r="H14"/>
  <c r="G14"/>
  <c r="L14"/>
  <c r="K15"/>
  <c r="C15"/>
  <c r="B15"/>
  <c r="H15"/>
  <c r="K16"/>
  <c r="C16"/>
  <c r="G15"/>
  <c r="L15"/>
  <c r="B16"/>
  <c r="H16"/>
  <c r="C17"/>
  <c r="K17"/>
  <c r="B17"/>
  <c r="H17"/>
  <c r="G16"/>
  <c r="L16"/>
  <c r="K18"/>
  <c r="C18"/>
  <c r="B18"/>
  <c r="H18"/>
  <c r="G17"/>
  <c r="L17"/>
  <c r="K19"/>
  <c r="C19"/>
  <c r="B19"/>
  <c r="H19"/>
  <c r="K20"/>
  <c r="C20"/>
  <c r="G18"/>
  <c r="L18"/>
  <c r="B20"/>
  <c r="H20"/>
  <c r="G20"/>
  <c r="L20"/>
  <c r="C21"/>
  <c r="K21"/>
  <c r="G19"/>
  <c r="L19"/>
  <c r="B21"/>
  <c r="H21"/>
  <c r="G21"/>
  <c r="L21"/>
  <c r="K22"/>
  <c r="C22"/>
  <c r="B22"/>
  <c r="H22"/>
  <c r="G22"/>
  <c r="L22"/>
  <c r="K23"/>
  <c r="C23"/>
  <c r="B23"/>
  <c r="H23"/>
  <c r="G23"/>
  <c r="L23"/>
  <c r="C24"/>
  <c r="K24"/>
  <c r="B24"/>
  <c r="H24"/>
  <c r="C25"/>
  <c r="K25"/>
  <c r="G24"/>
  <c r="L24"/>
  <c r="B25"/>
  <c r="G25"/>
  <c r="L25"/>
  <c r="H25"/>
  <c r="K26"/>
  <c r="C26"/>
  <c r="B26"/>
  <c r="H26"/>
  <c r="G26"/>
  <c r="L26"/>
  <c r="K27"/>
  <c r="C27"/>
  <c r="B27"/>
  <c r="H27"/>
  <c r="G27"/>
  <c r="L27"/>
  <c r="K28"/>
  <c r="C28"/>
  <c r="B28"/>
  <c r="H28"/>
  <c r="G28"/>
  <c r="L28"/>
  <c r="C29"/>
  <c r="K29"/>
  <c r="B29"/>
  <c r="H29"/>
  <c r="K30"/>
  <c r="C30"/>
  <c r="G29"/>
  <c r="L29"/>
  <c r="B30"/>
  <c r="H30"/>
  <c r="G30"/>
  <c r="L30"/>
  <c r="K31"/>
  <c r="C31"/>
  <c r="B31"/>
  <c r="H31"/>
  <c r="G31"/>
  <c r="L31"/>
  <c r="C32"/>
  <c r="K32"/>
  <c r="B32"/>
  <c r="H32"/>
  <c r="G32"/>
  <c r="L32"/>
  <c r="C33"/>
  <c r="K33"/>
  <c r="B33"/>
  <c r="H33"/>
  <c r="K34"/>
  <c r="C34"/>
  <c r="G33"/>
  <c r="L33"/>
  <c r="B34"/>
  <c r="H34"/>
  <c r="K35"/>
  <c r="C35"/>
  <c r="G34"/>
  <c r="L34"/>
  <c r="B35"/>
  <c r="H35"/>
  <c r="G35"/>
  <c r="L35"/>
  <c r="K36"/>
  <c r="C36"/>
  <c r="B36"/>
  <c r="G36"/>
  <c r="L36"/>
  <c r="H36"/>
  <c r="C37"/>
  <c r="K37"/>
  <c r="B37"/>
  <c r="H37"/>
  <c r="G37"/>
  <c r="L37"/>
  <c r="K38"/>
  <c r="C38"/>
  <c r="B38"/>
  <c r="G38"/>
  <c r="L38"/>
  <c r="K39"/>
  <c r="C39"/>
  <c r="H38"/>
  <c r="B39"/>
  <c r="H39"/>
  <c r="G39"/>
  <c r="L39"/>
  <c r="K40"/>
  <c r="C40"/>
  <c r="B40"/>
  <c r="H40"/>
  <c r="G40"/>
  <c r="L40"/>
  <c r="C41"/>
  <c r="K41"/>
  <c r="B41"/>
  <c r="H41"/>
  <c r="G41"/>
  <c r="L41"/>
  <c r="K42"/>
  <c r="C42"/>
  <c r="B42"/>
  <c r="H42"/>
  <c r="G42"/>
  <c r="L42"/>
  <c r="K43"/>
  <c r="C43"/>
  <c r="B43"/>
  <c r="H43"/>
  <c r="G43"/>
  <c r="L43"/>
  <c r="K44"/>
  <c r="C44"/>
  <c r="B44"/>
  <c r="H44"/>
  <c r="G44"/>
  <c r="L44"/>
  <c r="C45"/>
  <c r="K45"/>
  <c r="B45"/>
  <c r="G45"/>
  <c r="L45"/>
  <c r="H45"/>
  <c r="K46"/>
  <c r="C46"/>
  <c r="B46"/>
  <c r="H46"/>
  <c r="G46"/>
  <c r="L46"/>
  <c r="K47"/>
  <c r="C47"/>
  <c r="B47"/>
  <c r="G47"/>
  <c r="L47"/>
  <c r="H47"/>
  <c r="K48"/>
  <c r="C48"/>
  <c r="B48"/>
  <c r="H48"/>
  <c r="G48"/>
  <c r="L48"/>
  <c r="K49"/>
  <c r="C49"/>
  <c r="B49"/>
  <c r="H49"/>
  <c r="G49"/>
  <c r="L49"/>
  <c r="K50"/>
  <c r="C50"/>
  <c r="B50"/>
  <c r="G50"/>
  <c r="L50"/>
  <c r="H50"/>
  <c r="C51"/>
  <c r="K51"/>
  <c r="B51"/>
  <c r="G51"/>
  <c r="L51"/>
  <c r="C52"/>
  <c r="K52"/>
  <c r="H51"/>
  <c r="B52"/>
  <c r="H52"/>
  <c r="G52"/>
  <c r="L52"/>
  <c r="K53"/>
  <c r="C53"/>
  <c r="B53"/>
  <c r="H53"/>
  <c r="K54"/>
  <c r="C54"/>
  <c r="G53"/>
  <c r="L53"/>
  <c r="B13"/>
  <c r="G13"/>
  <c r="B54"/>
  <c r="G54"/>
  <c r="G56"/>
  <c r="K13"/>
  <c r="K58"/>
  <c r="K55"/>
  <c r="K57"/>
  <c r="K56"/>
  <c r="B57"/>
  <c r="B58"/>
  <c r="B55"/>
  <c r="B56"/>
  <c r="H54"/>
  <c r="G57"/>
  <c r="G55"/>
  <c r="L54"/>
  <c r="L13"/>
  <c r="L57"/>
  <c r="G58"/>
  <c r="H13"/>
  <c r="H58"/>
  <c r="H55"/>
  <c r="H57"/>
  <c r="H56"/>
  <c r="L55"/>
  <c r="L58"/>
  <c r="L56"/>
  <c r="L4" i="45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A13"/>
  <c r="J13"/>
  <c r="F13"/>
  <c r="L3"/>
  <c r="O4"/>
  <c r="L7"/>
  <c r="O5"/>
  <c r="N13"/>
  <c r="E10"/>
  <c r="F54"/>
  <c r="F58"/>
  <c r="E9"/>
  <c r="A14"/>
  <c r="E7"/>
  <c r="E8"/>
  <c r="F56"/>
  <c r="F55"/>
  <c r="J14"/>
  <c r="N14"/>
  <c r="A15"/>
  <c r="F57"/>
  <c r="J15"/>
  <c r="N15"/>
  <c r="A16"/>
  <c r="J16"/>
  <c r="N16"/>
  <c r="A17"/>
  <c r="J17"/>
  <c r="N17"/>
  <c r="A18"/>
  <c r="J18"/>
  <c r="N18"/>
  <c r="A19"/>
  <c r="J19"/>
  <c r="N19"/>
  <c r="A20"/>
  <c r="J20"/>
  <c r="A21"/>
  <c r="N20"/>
  <c r="J21"/>
  <c r="N21"/>
  <c r="A22"/>
  <c r="J22"/>
  <c r="N22"/>
  <c r="A23"/>
  <c r="J23"/>
  <c r="N23"/>
  <c r="A24"/>
  <c r="J24"/>
  <c r="N24"/>
  <c r="A25"/>
  <c r="J25"/>
  <c r="N25"/>
  <c r="A26"/>
  <c r="J26"/>
  <c r="N26"/>
  <c r="A27"/>
  <c r="J27"/>
  <c r="A28"/>
  <c r="N27"/>
  <c r="J28"/>
  <c r="N28"/>
  <c r="A29"/>
  <c r="J29"/>
  <c r="N29"/>
  <c r="A30"/>
  <c r="J30"/>
  <c r="N30"/>
  <c r="A31"/>
  <c r="J31"/>
  <c r="N31"/>
  <c r="A32"/>
  <c r="J32"/>
  <c r="N32"/>
  <c r="A33"/>
  <c r="J33"/>
  <c r="N33"/>
  <c r="A34"/>
  <c r="J34"/>
  <c r="N34"/>
  <c r="A35"/>
  <c r="J35"/>
  <c r="N35"/>
  <c r="A36"/>
  <c r="J36"/>
  <c r="N36"/>
  <c r="A37"/>
  <c r="J37"/>
  <c r="N37"/>
  <c r="A38"/>
  <c r="J38"/>
  <c r="N38"/>
  <c r="A39"/>
  <c r="J39"/>
  <c r="N39"/>
  <c r="A40"/>
  <c r="J40"/>
  <c r="N40"/>
  <c r="A41"/>
  <c r="J41"/>
  <c r="N41"/>
  <c r="A42"/>
  <c r="J42"/>
  <c r="N42"/>
  <c r="A43"/>
  <c r="J43"/>
  <c r="N43"/>
  <c r="A44"/>
  <c r="J44"/>
  <c r="N44"/>
  <c r="A45"/>
  <c r="J45"/>
  <c r="N45"/>
  <c r="A46"/>
  <c r="J46"/>
  <c r="N46"/>
  <c r="A47"/>
  <c r="J47"/>
  <c r="N47"/>
  <c r="A48"/>
  <c r="J48"/>
  <c r="N48"/>
  <c r="A49"/>
  <c r="J49"/>
  <c r="N49"/>
  <c r="A50"/>
  <c r="J50"/>
  <c r="N50"/>
  <c r="A51"/>
  <c r="J51"/>
  <c r="N51"/>
  <c r="A52"/>
  <c r="J52"/>
  <c r="N52"/>
  <c r="A53"/>
  <c r="J53"/>
  <c r="N53"/>
  <c r="A54"/>
  <c r="E56"/>
  <c r="E57"/>
  <c r="E58"/>
  <c r="E55"/>
  <c r="N54"/>
  <c r="D54"/>
  <c r="I54"/>
  <c r="J54"/>
  <c r="J58"/>
  <c r="J56"/>
  <c r="J57"/>
  <c r="J55"/>
  <c r="C13"/>
  <c r="C14"/>
  <c r="K14"/>
  <c r="B14"/>
  <c r="H14"/>
  <c r="K15"/>
  <c r="C15"/>
  <c r="B15"/>
  <c r="H15"/>
  <c r="C16"/>
  <c r="B16"/>
  <c r="H16"/>
  <c r="K16"/>
  <c r="K17"/>
  <c r="C17"/>
  <c r="K18"/>
  <c r="C18"/>
  <c r="B18"/>
  <c r="H18"/>
  <c r="B17"/>
  <c r="H17"/>
  <c r="C19"/>
  <c r="K19"/>
  <c r="C20"/>
  <c r="K20"/>
  <c r="B20"/>
  <c r="H20"/>
  <c r="B19"/>
  <c r="H19"/>
  <c r="K21"/>
  <c r="C21"/>
  <c r="B21"/>
  <c r="H21"/>
  <c r="K22"/>
  <c r="C22"/>
  <c r="B22"/>
  <c r="H22"/>
  <c r="C23"/>
  <c r="K23"/>
  <c r="B23"/>
  <c r="H23"/>
  <c r="C24"/>
  <c r="K24"/>
  <c r="B24"/>
  <c r="H24"/>
  <c r="K25"/>
  <c r="C25"/>
  <c r="B25"/>
  <c r="C26"/>
  <c r="K26"/>
  <c r="H25"/>
  <c r="B26"/>
  <c r="C27"/>
  <c r="K27"/>
  <c r="H26"/>
  <c r="B27"/>
  <c r="K28"/>
  <c r="C28"/>
  <c r="B28"/>
  <c r="H28"/>
  <c r="H27"/>
  <c r="K29"/>
  <c r="C29"/>
  <c r="B29"/>
  <c r="H29"/>
  <c r="C30"/>
  <c r="K30"/>
  <c r="B30"/>
  <c r="C31"/>
  <c r="K31"/>
  <c r="B31"/>
  <c r="H31"/>
  <c r="H30"/>
  <c r="K32"/>
  <c r="C32"/>
  <c r="B32"/>
  <c r="H32"/>
  <c r="C33"/>
  <c r="B33"/>
  <c r="H33"/>
  <c r="K33"/>
  <c r="C34"/>
  <c r="K34"/>
  <c r="B34"/>
  <c r="H34"/>
  <c r="K35"/>
  <c r="C35"/>
  <c r="B35"/>
  <c r="H35"/>
  <c r="K36"/>
  <c r="C36"/>
  <c r="B36"/>
  <c r="H36"/>
  <c r="C37"/>
  <c r="B37"/>
  <c r="H37"/>
  <c r="K37"/>
  <c r="K38"/>
  <c r="C38"/>
  <c r="B38"/>
  <c r="H38"/>
  <c r="K39"/>
  <c r="C39"/>
  <c r="B39"/>
  <c r="H39"/>
  <c r="C40"/>
  <c r="K40"/>
  <c r="B40"/>
  <c r="H40"/>
  <c r="C41"/>
  <c r="K41"/>
  <c r="B41"/>
  <c r="H41"/>
  <c r="K42"/>
  <c r="C42"/>
  <c r="B42"/>
  <c r="H42"/>
  <c r="C43"/>
  <c r="K43"/>
  <c r="B43"/>
  <c r="H43"/>
  <c r="C44"/>
  <c r="K44"/>
  <c r="B44"/>
  <c r="H44"/>
  <c r="C45"/>
  <c r="K45"/>
  <c r="B45"/>
  <c r="H45"/>
  <c r="K46"/>
  <c r="C46"/>
  <c r="B46"/>
  <c r="H46"/>
  <c r="C47"/>
  <c r="K47"/>
  <c r="B47"/>
  <c r="H47"/>
  <c r="C48"/>
  <c r="K48"/>
  <c r="B48"/>
  <c r="H48"/>
  <c r="K49"/>
  <c r="C49"/>
  <c r="B49"/>
  <c r="K50"/>
  <c r="C50"/>
  <c r="B50"/>
  <c r="H50"/>
  <c r="H49"/>
  <c r="C51"/>
  <c r="K51"/>
  <c r="B51"/>
  <c r="C52"/>
  <c r="K52"/>
  <c r="B52"/>
  <c r="H52"/>
  <c r="H51"/>
  <c r="K53"/>
  <c r="C53"/>
  <c r="B53"/>
  <c r="H53"/>
  <c r="K54"/>
  <c r="B13"/>
  <c r="B54"/>
  <c r="B55"/>
  <c r="B57"/>
  <c r="B58"/>
  <c r="B56"/>
  <c r="K13"/>
  <c r="K58"/>
  <c r="K55"/>
  <c r="K57"/>
  <c r="K56"/>
  <c r="H54"/>
  <c r="H13"/>
  <c r="H55"/>
  <c r="H56"/>
  <c r="H57"/>
  <c r="H58"/>
  <c r="G54"/>
  <c r="L54"/>
  <c r="D13"/>
  <c r="I13"/>
  <c r="D14"/>
  <c r="I14"/>
  <c r="D15"/>
  <c r="I15"/>
  <c r="D16"/>
  <c r="I16"/>
  <c r="D17"/>
  <c r="I17"/>
  <c r="D18"/>
  <c r="I18"/>
  <c r="D19"/>
  <c r="I19"/>
  <c r="D20"/>
  <c r="I20"/>
  <c r="D21"/>
  <c r="I21"/>
  <c r="D22"/>
  <c r="I22"/>
  <c r="D23"/>
  <c r="I23"/>
  <c r="D24"/>
  <c r="I24"/>
  <c r="D25"/>
  <c r="I25"/>
  <c r="D26"/>
  <c r="I26"/>
  <c r="D27"/>
  <c r="I27"/>
  <c r="D28"/>
  <c r="I28"/>
  <c r="D29"/>
  <c r="I29"/>
  <c r="D30"/>
  <c r="I30"/>
  <c r="D31"/>
  <c r="I31"/>
  <c r="D32"/>
  <c r="I32"/>
  <c r="D33"/>
  <c r="I33"/>
  <c r="D34"/>
  <c r="I34"/>
  <c r="D35"/>
  <c r="I35"/>
  <c r="D36"/>
  <c r="I36"/>
  <c r="D37"/>
  <c r="I37"/>
  <c r="D38"/>
  <c r="I38"/>
  <c r="D39"/>
  <c r="I39"/>
  <c r="D40"/>
  <c r="I40"/>
  <c r="D41"/>
  <c r="I41"/>
  <c r="D42"/>
  <c r="I42"/>
  <c r="D43"/>
  <c r="I43"/>
  <c r="D44"/>
  <c r="I44"/>
  <c r="D45"/>
  <c r="I45"/>
  <c r="D46"/>
  <c r="I46"/>
  <c r="D47"/>
  <c r="I47"/>
  <c r="D48"/>
  <c r="I48"/>
  <c r="D49"/>
  <c r="I49"/>
  <c r="D50"/>
  <c r="I50"/>
  <c r="D51"/>
  <c r="I51"/>
  <c r="D52"/>
  <c r="I52"/>
  <c r="D53"/>
  <c r="I53"/>
  <c r="I56"/>
  <c r="I55"/>
  <c r="I57"/>
  <c r="I58"/>
  <c r="D58"/>
  <c r="D56"/>
  <c r="D55"/>
  <c r="D57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8"/>
  <c r="G57"/>
  <c r="G56"/>
  <c r="G55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6"/>
  <c r="L57"/>
  <c r="L55"/>
  <c r="L58"/>
  <c r="L4" i="33"/>
  <c r="A13"/>
  <c r="N13"/>
  <c r="E10"/>
  <c r="D13"/>
  <c r="F13"/>
  <c r="J13"/>
  <c r="O4"/>
  <c r="O5"/>
  <c r="E9"/>
  <c r="A14"/>
  <c r="F14"/>
  <c r="E14"/>
  <c r="E15"/>
  <c r="J14"/>
  <c r="A15"/>
  <c r="F15"/>
  <c r="J15"/>
  <c r="A16"/>
  <c r="F16"/>
  <c r="J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I13"/>
  <c r="E16"/>
  <c r="N15"/>
  <c r="D15"/>
  <c r="N16"/>
  <c r="D16"/>
  <c r="I16"/>
  <c r="A17"/>
  <c r="N14"/>
  <c r="D14"/>
  <c r="I14"/>
  <c r="I15"/>
  <c r="N17"/>
  <c r="D17"/>
  <c r="J17"/>
  <c r="A18"/>
  <c r="E17"/>
  <c r="N18"/>
  <c r="D18"/>
  <c r="E18"/>
  <c r="I18"/>
  <c r="J18"/>
  <c r="A19"/>
  <c r="I17"/>
  <c r="E19"/>
  <c r="A20"/>
  <c r="N19"/>
  <c r="D19"/>
  <c r="J19"/>
  <c r="I19"/>
  <c r="E20"/>
  <c r="J20"/>
  <c r="N20"/>
  <c r="A21"/>
  <c r="D20"/>
  <c r="I20"/>
  <c r="J21"/>
  <c r="A22"/>
  <c r="N21"/>
  <c r="D21"/>
  <c r="E21"/>
  <c r="I21"/>
  <c r="E22"/>
  <c r="J22"/>
  <c r="A23"/>
  <c r="N22"/>
  <c r="D22"/>
  <c r="I22"/>
  <c r="E23"/>
  <c r="N23"/>
  <c r="D23"/>
  <c r="I23"/>
  <c r="J23"/>
  <c r="A24"/>
  <c r="E24"/>
  <c r="J24"/>
  <c r="N24"/>
  <c r="D24"/>
  <c r="A25"/>
  <c r="I24"/>
  <c r="N25"/>
  <c r="D25"/>
  <c r="E25"/>
  <c r="I25"/>
  <c r="A26"/>
  <c r="J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8"/>
  <c r="E57"/>
  <c r="E56"/>
  <c r="E55"/>
  <c r="N26"/>
  <c r="D26"/>
  <c r="A27"/>
  <c r="I26"/>
  <c r="J26"/>
  <c r="N27"/>
  <c r="D27"/>
  <c r="I27"/>
  <c r="J27"/>
  <c r="A28"/>
  <c r="A29"/>
  <c r="N28"/>
  <c r="D28"/>
  <c r="I28"/>
  <c r="J28"/>
  <c r="J29"/>
  <c r="A30"/>
  <c r="N29"/>
  <c r="D29"/>
  <c r="I29"/>
  <c r="J30"/>
  <c r="A31"/>
  <c r="N30"/>
  <c r="D30"/>
  <c r="I30"/>
  <c r="J31"/>
  <c r="A32"/>
  <c r="N31"/>
  <c r="D31"/>
  <c r="I31"/>
  <c r="A33"/>
  <c r="J32"/>
  <c r="N32"/>
  <c r="D32"/>
  <c r="I32"/>
  <c r="N33"/>
  <c r="D33"/>
  <c r="I33"/>
  <c r="J33"/>
  <c r="A34"/>
  <c r="N34"/>
  <c r="D34"/>
  <c r="I34"/>
  <c r="A35"/>
  <c r="J34"/>
  <c r="N35"/>
  <c r="D35"/>
  <c r="I35"/>
  <c r="J35"/>
  <c r="A36"/>
  <c r="N36"/>
  <c r="D36"/>
  <c r="J36"/>
  <c r="A37"/>
  <c r="I36"/>
  <c r="N37"/>
  <c r="D37"/>
  <c r="I37"/>
  <c r="J37"/>
  <c r="A38"/>
  <c r="A39"/>
  <c r="N38"/>
  <c r="D38"/>
  <c r="I38"/>
  <c r="J38"/>
  <c r="J39"/>
  <c r="N39"/>
  <c r="D39"/>
  <c r="I39"/>
  <c r="A40"/>
  <c r="J40"/>
  <c r="A41"/>
  <c r="N40"/>
  <c r="D40"/>
  <c r="I40"/>
  <c r="J41"/>
  <c r="N41"/>
  <c r="D41"/>
  <c r="I41"/>
  <c r="A42"/>
  <c r="N42"/>
  <c r="D42"/>
  <c r="J42"/>
  <c r="A43"/>
  <c r="I42"/>
  <c r="N43"/>
  <c r="D43"/>
  <c r="I43"/>
  <c r="J43"/>
  <c r="A44"/>
  <c r="N44"/>
  <c r="D44"/>
  <c r="I44"/>
  <c r="A45"/>
  <c r="J44"/>
  <c r="A46"/>
  <c r="N45"/>
  <c r="D45"/>
  <c r="I45"/>
  <c r="J45"/>
  <c r="J46"/>
  <c r="A47"/>
  <c r="N46"/>
  <c r="D46"/>
  <c r="I46"/>
  <c r="J47"/>
  <c r="A48"/>
  <c r="N47"/>
  <c r="D47"/>
  <c r="I47"/>
  <c r="J48"/>
  <c r="A49"/>
  <c r="N48"/>
  <c r="D48"/>
  <c r="I48"/>
  <c r="J49"/>
  <c r="N49"/>
  <c r="D49"/>
  <c r="I49"/>
  <c r="A50"/>
  <c r="N50"/>
  <c r="D50"/>
  <c r="I50"/>
  <c r="J50"/>
  <c r="A51"/>
  <c r="N51"/>
  <c r="D51"/>
  <c r="I51"/>
  <c r="J51"/>
  <c r="A52"/>
  <c r="A53"/>
  <c r="N52"/>
  <c r="D52"/>
  <c r="I52"/>
  <c r="J52"/>
  <c r="J53"/>
  <c r="A54"/>
  <c r="N53"/>
  <c r="D53"/>
  <c r="I53"/>
  <c r="J54"/>
  <c r="N54"/>
  <c r="D54"/>
  <c r="D57"/>
  <c r="D55"/>
  <c r="D56"/>
  <c r="D58"/>
  <c r="I54"/>
  <c r="J57"/>
  <c r="J58"/>
  <c r="J56"/>
  <c r="J55"/>
  <c r="I55"/>
  <c r="I56"/>
  <c r="I57"/>
  <c r="I58"/>
  <c r="K16"/>
  <c r="C15"/>
  <c r="K15"/>
  <c r="B15"/>
  <c r="H15"/>
  <c r="C16"/>
  <c r="B16"/>
  <c r="H16"/>
  <c r="K14"/>
  <c r="C14"/>
  <c r="B14"/>
  <c r="H14"/>
  <c r="C13"/>
  <c r="G16"/>
  <c r="L16"/>
  <c r="C17"/>
  <c r="K17"/>
  <c r="G14"/>
  <c r="L14"/>
  <c r="G15"/>
  <c r="L15"/>
  <c r="C18"/>
  <c r="K18"/>
  <c r="B17"/>
  <c r="H17"/>
  <c r="B18"/>
  <c r="G18"/>
  <c r="L18"/>
  <c r="H18"/>
  <c r="C19"/>
  <c r="K19"/>
  <c r="G17"/>
  <c r="L17"/>
  <c r="C20"/>
  <c r="B20"/>
  <c r="H20"/>
  <c r="K20"/>
  <c r="B19"/>
  <c r="H19"/>
  <c r="G19"/>
  <c r="L19"/>
  <c r="C21"/>
  <c r="B21"/>
  <c r="H21"/>
  <c r="K21"/>
  <c r="G20"/>
  <c r="L20"/>
  <c r="B22"/>
  <c r="C22"/>
  <c r="H22"/>
  <c r="K22"/>
  <c r="C23"/>
  <c r="B23"/>
  <c r="H23"/>
  <c r="K23"/>
  <c r="G21"/>
  <c r="L21"/>
  <c r="G22"/>
  <c r="L22"/>
  <c r="G23"/>
  <c r="L23"/>
  <c r="C24"/>
  <c r="K24"/>
  <c r="B24"/>
  <c r="G24"/>
  <c r="L24"/>
  <c r="C25"/>
  <c r="K25"/>
  <c r="H24"/>
  <c r="B25"/>
  <c r="G25"/>
  <c r="L25"/>
  <c r="H25"/>
  <c r="B26"/>
  <c r="C26"/>
  <c r="H26"/>
  <c r="G26"/>
  <c r="K26"/>
  <c r="L26"/>
  <c r="C27"/>
  <c r="B27"/>
  <c r="H27"/>
  <c r="K27"/>
  <c r="G27"/>
  <c r="L27"/>
  <c r="C28"/>
  <c r="B28"/>
  <c r="H28"/>
  <c r="K28"/>
  <c r="C29"/>
  <c r="B29"/>
  <c r="H29"/>
  <c r="K29"/>
  <c r="G28"/>
  <c r="L28"/>
  <c r="C30"/>
  <c r="K30"/>
  <c r="B30"/>
  <c r="G30"/>
  <c r="L30"/>
  <c r="G29"/>
  <c r="L29"/>
  <c r="C31"/>
  <c r="B31"/>
  <c r="H31"/>
  <c r="K31"/>
  <c r="H30"/>
  <c r="G31"/>
  <c r="L31"/>
  <c r="C32"/>
  <c r="B32"/>
  <c r="H32"/>
  <c r="K32"/>
  <c r="C33"/>
  <c r="B33"/>
  <c r="H33"/>
  <c r="K33"/>
  <c r="G32"/>
  <c r="L32"/>
  <c r="G33"/>
  <c r="L33"/>
  <c r="C34"/>
  <c r="B34"/>
  <c r="H34"/>
  <c r="K34"/>
  <c r="C35"/>
  <c r="B35"/>
  <c r="H35"/>
  <c r="K35"/>
  <c r="G34"/>
  <c r="L34"/>
  <c r="G35"/>
  <c r="L35"/>
  <c r="C36"/>
  <c r="B36"/>
  <c r="H36"/>
  <c r="K36"/>
  <c r="G36"/>
  <c r="L36"/>
  <c r="C37"/>
  <c r="B37"/>
  <c r="H37"/>
  <c r="K37"/>
  <c r="G37"/>
  <c r="L37"/>
  <c r="C38"/>
  <c r="B38"/>
  <c r="H38"/>
  <c r="K38"/>
  <c r="C39"/>
  <c r="K39"/>
  <c r="B39"/>
  <c r="G39"/>
  <c r="L39"/>
  <c r="G38"/>
  <c r="L38"/>
  <c r="H39"/>
  <c r="C40"/>
  <c r="B40"/>
  <c r="H40"/>
  <c r="K40"/>
  <c r="G40"/>
  <c r="L40"/>
  <c r="C41"/>
  <c r="B41"/>
  <c r="H41"/>
  <c r="K41"/>
  <c r="G41"/>
  <c r="L41"/>
  <c r="C42"/>
  <c r="K42"/>
  <c r="B42"/>
  <c r="H42"/>
  <c r="G42"/>
  <c r="L42"/>
  <c r="C43"/>
  <c r="B43"/>
  <c r="H43"/>
  <c r="K43"/>
  <c r="G43"/>
  <c r="L43"/>
  <c r="C44"/>
  <c r="B44"/>
  <c r="H44"/>
  <c r="K44"/>
  <c r="C45"/>
  <c r="B45"/>
  <c r="H45"/>
  <c r="K45"/>
  <c r="G44"/>
  <c r="L44"/>
  <c r="C46"/>
  <c r="B46"/>
  <c r="H46"/>
  <c r="K46"/>
  <c r="G46"/>
  <c r="L46"/>
  <c r="G45"/>
  <c r="L45"/>
  <c r="C47"/>
  <c r="K47"/>
  <c r="B47"/>
  <c r="G47"/>
  <c r="L47"/>
  <c r="C48"/>
  <c r="K48"/>
  <c r="B48"/>
  <c r="H48"/>
  <c r="H47"/>
  <c r="C49"/>
  <c r="K49"/>
  <c r="B49"/>
  <c r="H49"/>
  <c r="G48"/>
  <c r="L48"/>
  <c r="G49"/>
  <c r="L49"/>
  <c r="C50"/>
  <c r="K50"/>
  <c r="B50"/>
  <c r="G50"/>
  <c r="L50"/>
  <c r="C51"/>
  <c r="B51"/>
  <c r="G51"/>
  <c r="K51"/>
  <c r="L51"/>
  <c r="H50"/>
  <c r="H51"/>
  <c r="C52"/>
  <c r="K52"/>
  <c r="B52"/>
  <c r="G52"/>
  <c r="L52"/>
  <c r="C53"/>
  <c r="B53"/>
  <c r="H53"/>
  <c r="K53"/>
  <c r="H52"/>
  <c r="C54"/>
  <c r="K54"/>
  <c r="G53"/>
  <c r="L53"/>
  <c r="K13"/>
  <c r="K55"/>
  <c r="K58"/>
  <c r="K56"/>
  <c r="K57"/>
  <c r="B13"/>
  <c r="B54"/>
  <c r="B57"/>
  <c r="B55"/>
  <c r="B56"/>
  <c r="B58"/>
  <c r="H54"/>
  <c r="H13"/>
  <c r="H55"/>
  <c r="H58"/>
  <c r="H56"/>
  <c r="H57"/>
  <c r="G13"/>
  <c r="G54"/>
  <c r="G56"/>
  <c r="G55"/>
  <c r="G57"/>
  <c r="G58"/>
  <c r="L54"/>
  <c r="L13"/>
  <c r="L55"/>
  <c r="L56"/>
  <c r="L58"/>
  <c r="L57"/>
  <c r="L5" i="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L8"/>
  <c r="O4"/>
  <c r="L4"/>
  <c r="I1"/>
  <c r="E4"/>
  <c r="E3"/>
  <c r="E7"/>
  <c r="O5"/>
  <c r="E9"/>
  <c r="A13"/>
  <c r="N13"/>
  <c r="E10"/>
  <c r="E8"/>
  <c r="E13"/>
  <c r="J13"/>
  <c r="A14"/>
  <c r="D13"/>
  <c r="N14"/>
  <c r="D14"/>
  <c r="E14"/>
  <c r="J14"/>
  <c r="A15"/>
  <c r="A16"/>
  <c r="E16"/>
  <c r="I13"/>
  <c r="I14"/>
  <c r="J16"/>
  <c r="J15"/>
  <c r="N15"/>
  <c r="D15"/>
  <c r="E15"/>
  <c r="N16"/>
  <c r="D16"/>
  <c r="A17"/>
  <c r="N17"/>
  <c r="D17"/>
  <c r="E17"/>
  <c r="I17"/>
  <c r="A18"/>
  <c r="I16"/>
  <c r="I15"/>
  <c r="J17"/>
  <c r="J18"/>
  <c r="N18"/>
  <c r="D18"/>
  <c r="E18"/>
  <c r="A19"/>
  <c r="A20"/>
  <c r="E19"/>
  <c r="I18"/>
  <c r="N19"/>
  <c r="D19"/>
  <c r="J19"/>
  <c r="A21"/>
  <c r="E20"/>
  <c r="N20"/>
  <c r="D20"/>
  <c r="J20"/>
  <c r="I19"/>
  <c r="I20"/>
  <c r="N21"/>
  <c r="D21"/>
  <c r="J21"/>
  <c r="A22"/>
  <c r="E21"/>
  <c r="I21"/>
  <c r="A23"/>
  <c r="E22"/>
  <c r="N22"/>
  <c r="D22"/>
  <c r="J22"/>
  <c r="I22"/>
  <c r="J23"/>
  <c r="A24"/>
  <c r="E23"/>
  <c r="N23"/>
  <c r="D23"/>
  <c r="I23"/>
  <c r="N24"/>
  <c r="D24"/>
  <c r="E24"/>
  <c r="J24"/>
  <c r="A25"/>
  <c r="I24"/>
  <c r="N25"/>
  <c r="D25"/>
  <c r="A26"/>
  <c r="E25"/>
  <c r="J25"/>
  <c r="I25"/>
  <c r="J26"/>
  <c r="A27"/>
  <c r="N26"/>
  <c r="D26"/>
  <c r="E26"/>
  <c r="I26"/>
  <c r="A28"/>
  <c r="N27"/>
  <c r="D27"/>
  <c r="E27"/>
  <c r="J27"/>
  <c r="I27"/>
  <c r="J28"/>
  <c r="E28"/>
  <c r="A29"/>
  <c r="N28"/>
  <c r="D28"/>
  <c r="I28"/>
  <c r="A30"/>
  <c r="E29"/>
  <c r="J29"/>
  <c r="N29"/>
  <c r="D29"/>
  <c r="I29"/>
  <c r="N30"/>
  <c r="D30"/>
  <c r="J30"/>
  <c r="A31"/>
  <c r="E30"/>
  <c r="I30"/>
  <c r="J31"/>
  <c r="N31"/>
  <c r="D31"/>
  <c r="A32"/>
  <c r="E31"/>
  <c r="I31"/>
  <c r="N32"/>
  <c r="D32"/>
  <c r="E32"/>
  <c r="A33"/>
  <c r="J32"/>
  <c r="I32"/>
  <c r="J33"/>
  <c r="E33"/>
  <c r="A34"/>
  <c r="N33"/>
  <c r="D33"/>
  <c r="I33"/>
  <c r="E34"/>
  <c r="N34"/>
  <c r="D34"/>
  <c r="J34"/>
  <c r="A35"/>
  <c r="I34"/>
  <c r="A36"/>
  <c r="E35"/>
  <c r="N35"/>
  <c r="D35"/>
  <c r="J35"/>
  <c r="I35"/>
  <c r="J36"/>
  <c r="N36"/>
  <c r="D36"/>
  <c r="E36"/>
  <c r="A37"/>
  <c r="I36"/>
  <c r="N37"/>
  <c r="D37"/>
  <c r="E37"/>
  <c r="J37"/>
  <c r="A38"/>
  <c r="I37"/>
  <c r="E38"/>
  <c r="A39"/>
  <c r="N38"/>
  <c r="D38"/>
  <c r="J38"/>
  <c r="I38"/>
  <c r="J39"/>
  <c r="E39"/>
  <c r="A40"/>
  <c r="N39"/>
  <c r="D39"/>
  <c r="I39"/>
  <c r="A41"/>
  <c r="N40"/>
  <c r="D40"/>
  <c r="E40"/>
  <c r="J40"/>
  <c r="I40"/>
  <c r="J41"/>
  <c r="A42"/>
  <c r="N41"/>
  <c r="D41"/>
  <c r="E41"/>
  <c r="I41"/>
  <c r="E42"/>
  <c r="A43"/>
  <c r="N42"/>
  <c r="D42"/>
  <c r="J42"/>
  <c r="I42"/>
  <c r="A44"/>
  <c r="E43"/>
  <c r="N43"/>
  <c r="D43"/>
  <c r="J43"/>
  <c r="I43"/>
  <c r="J44"/>
  <c r="N44"/>
  <c r="D44"/>
  <c r="A45"/>
  <c r="E44"/>
  <c r="I44"/>
  <c r="N45"/>
  <c r="D45"/>
  <c r="E45"/>
  <c r="J45"/>
  <c r="A46"/>
  <c r="I45"/>
  <c r="J46"/>
  <c r="E46"/>
  <c r="A47"/>
  <c r="N46"/>
  <c r="D46"/>
  <c r="I46"/>
  <c r="J47"/>
  <c r="A48"/>
  <c r="E47"/>
  <c r="N47"/>
  <c r="D47"/>
  <c r="I47"/>
  <c r="A49"/>
  <c r="N48"/>
  <c r="D48"/>
  <c r="E48"/>
  <c r="J48"/>
  <c r="I48"/>
  <c r="J49"/>
  <c r="E49"/>
  <c r="A50"/>
  <c r="N49"/>
  <c r="D49"/>
  <c r="I49"/>
  <c r="N50"/>
  <c r="D50"/>
  <c r="E50"/>
  <c r="J50"/>
  <c r="A51"/>
  <c r="I50"/>
  <c r="A52"/>
  <c r="N51"/>
  <c r="D51"/>
  <c r="E51"/>
  <c r="J51"/>
  <c r="I51"/>
  <c r="J52"/>
  <c r="N52"/>
  <c r="D52"/>
  <c r="E52"/>
  <c r="A53"/>
  <c r="I52"/>
  <c r="A54"/>
  <c r="N53"/>
  <c r="D53"/>
  <c r="E53"/>
  <c r="E54"/>
  <c r="J53"/>
  <c r="I53"/>
  <c r="E55"/>
  <c r="E56"/>
  <c r="E57"/>
  <c r="E58"/>
  <c r="N54"/>
  <c r="D54"/>
  <c r="J54"/>
  <c r="J57"/>
  <c r="J58"/>
  <c r="J55"/>
  <c r="J56"/>
  <c r="D57"/>
  <c r="D58"/>
  <c r="D56"/>
  <c r="D55"/>
  <c r="I54"/>
  <c r="I56"/>
  <c r="I55"/>
  <c r="I57"/>
  <c r="I58"/>
  <c r="C14"/>
  <c r="C13"/>
  <c r="K14"/>
  <c r="B14"/>
  <c r="H14"/>
  <c r="K16"/>
  <c r="K15"/>
  <c r="C15"/>
  <c r="G14"/>
  <c r="L14"/>
  <c r="C16"/>
  <c r="K18"/>
  <c r="B16"/>
  <c r="G16"/>
  <c r="L16"/>
  <c r="H16"/>
  <c r="B15"/>
  <c r="H15"/>
  <c r="G15"/>
  <c r="L15"/>
  <c r="K17"/>
  <c r="C17"/>
  <c r="C18"/>
  <c r="B17"/>
  <c r="H17"/>
  <c r="G17"/>
  <c r="L17"/>
  <c r="B18"/>
  <c r="G18"/>
  <c r="L18"/>
  <c r="H18"/>
  <c r="C19"/>
  <c r="K19"/>
  <c r="K20"/>
  <c r="C20"/>
  <c r="B19"/>
  <c r="H19"/>
  <c r="G19"/>
  <c r="L19"/>
  <c r="B20"/>
  <c r="H20"/>
  <c r="C21"/>
  <c r="K21"/>
  <c r="B21"/>
  <c r="H21"/>
  <c r="K22"/>
  <c r="C22"/>
  <c r="G20"/>
  <c r="L20"/>
  <c r="B22"/>
  <c r="H22"/>
  <c r="G22"/>
  <c r="L22"/>
  <c r="G21"/>
  <c r="L21"/>
  <c r="C23"/>
  <c r="K23"/>
  <c r="B23"/>
  <c r="H23"/>
  <c r="G23"/>
  <c r="L23"/>
  <c r="K24"/>
  <c r="C24"/>
  <c r="B24"/>
  <c r="H24"/>
  <c r="G24"/>
  <c r="L24"/>
  <c r="C25"/>
  <c r="K25"/>
  <c r="B25"/>
  <c r="H25"/>
  <c r="G25"/>
  <c r="L25"/>
  <c r="K26"/>
  <c r="C26"/>
  <c r="B26"/>
  <c r="H26"/>
  <c r="G26"/>
  <c r="L26"/>
  <c r="C27"/>
  <c r="K27"/>
  <c r="B27"/>
  <c r="G27"/>
  <c r="L27"/>
  <c r="H27"/>
  <c r="C28"/>
  <c r="K28"/>
  <c r="B28"/>
  <c r="H28"/>
  <c r="G28"/>
  <c r="L28"/>
  <c r="C29"/>
  <c r="K29"/>
  <c r="B29"/>
  <c r="H29"/>
  <c r="G29"/>
  <c r="L29"/>
  <c r="K30"/>
  <c r="C30"/>
  <c r="B30"/>
  <c r="G30"/>
  <c r="L30"/>
  <c r="H30"/>
  <c r="C31"/>
  <c r="K31"/>
  <c r="B31"/>
  <c r="H31"/>
  <c r="G31"/>
  <c r="L31"/>
  <c r="K32"/>
  <c r="C32"/>
  <c r="B32"/>
  <c r="G32"/>
  <c r="L32"/>
  <c r="K33"/>
  <c r="C33"/>
  <c r="H32"/>
  <c r="B33"/>
  <c r="G33"/>
  <c r="L33"/>
  <c r="H33"/>
  <c r="K34"/>
  <c r="C34"/>
  <c r="B34"/>
  <c r="H34"/>
  <c r="G34"/>
  <c r="L34"/>
  <c r="K35"/>
  <c r="C35"/>
  <c r="B35"/>
  <c r="H35"/>
  <c r="G35"/>
  <c r="L35"/>
  <c r="C36"/>
  <c r="K36"/>
  <c r="B36"/>
  <c r="H36"/>
  <c r="G36"/>
  <c r="L36"/>
  <c r="K37"/>
  <c r="C37"/>
  <c r="B37"/>
  <c r="G37"/>
  <c r="L37"/>
  <c r="H37"/>
  <c r="C38"/>
  <c r="K38"/>
  <c r="B38"/>
  <c r="H38"/>
  <c r="G38"/>
  <c r="L38"/>
  <c r="K39"/>
  <c r="C39"/>
  <c r="B39"/>
  <c r="H39"/>
  <c r="G39"/>
  <c r="L39"/>
  <c r="C40"/>
  <c r="K40"/>
  <c r="B40"/>
  <c r="G40"/>
  <c r="L40"/>
  <c r="H40"/>
  <c r="K41"/>
  <c r="C41"/>
  <c r="B41"/>
  <c r="H41"/>
  <c r="G41"/>
  <c r="L41"/>
  <c r="K42"/>
  <c r="C42"/>
  <c r="B42"/>
  <c r="H42"/>
  <c r="G42"/>
  <c r="L42"/>
  <c r="K43"/>
  <c r="C43"/>
  <c r="B43"/>
  <c r="G43"/>
  <c r="L43"/>
  <c r="H43"/>
  <c r="C44"/>
  <c r="K44"/>
  <c r="B44"/>
  <c r="H44"/>
  <c r="G44"/>
  <c r="L44"/>
  <c r="K45"/>
  <c r="C45"/>
  <c r="B45"/>
  <c r="H45"/>
  <c r="G45"/>
  <c r="L45"/>
  <c r="K46"/>
  <c r="C46"/>
  <c r="B46"/>
  <c r="G46"/>
  <c r="L46"/>
  <c r="H46"/>
  <c r="K47"/>
  <c r="C47"/>
  <c r="B47"/>
  <c r="H47"/>
  <c r="C48"/>
  <c r="K48"/>
  <c r="G47"/>
  <c r="L47"/>
  <c r="B48"/>
  <c r="G48"/>
  <c r="L48"/>
  <c r="H48"/>
  <c r="C49"/>
  <c r="K49"/>
  <c r="B49"/>
  <c r="H49"/>
  <c r="K50"/>
  <c r="C50"/>
  <c r="G49"/>
  <c r="L49"/>
  <c r="B50"/>
  <c r="H50"/>
  <c r="C51"/>
  <c r="K51"/>
  <c r="G50"/>
  <c r="L50"/>
  <c r="B51"/>
  <c r="H51"/>
  <c r="K52"/>
  <c r="C52"/>
  <c r="G51"/>
  <c r="L51"/>
  <c r="B52"/>
  <c r="H52"/>
  <c r="G52"/>
  <c r="L52"/>
  <c r="K53"/>
  <c r="C53"/>
  <c r="B53"/>
  <c r="H53"/>
  <c r="G53"/>
  <c r="L53"/>
  <c r="K54"/>
  <c r="C54"/>
  <c r="B54"/>
  <c r="H54"/>
  <c r="B13"/>
  <c r="H13"/>
  <c r="H56"/>
  <c r="G13"/>
  <c r="G54"/>
  <c r="G57"/>
  <c r="K13"/>
  <c r="K57"/>
  <c r="K58"/>
  <c r="K55"/>
  <c r="K56"/>
  <c r="B55"/>
  <c r="B57"/>
  <c r="B58"/>
  <c r="B56"/>
  <c r="H58"/>
  <c r="G56"/>
  <c r="H57"/>
  <c r="H55"/>
  <c r="G55"/>
  <c r="G58"/>
  <c r="L54"/>
  <c r="L13"/>
  <c r="L56"/>
  <c r="L57"/>
  <c r="L58"/>
  <c r="L55"/>
  <c r="P89" i="36"/>
  <c r="P90"/>
  <c r="P91"/>
  <c r="P92"/>
  <c r="P93"/>
  <c r="P94"/>
  <c r="P95"/>
  <c r="P96"/>
  <c r="P97"/>
  <c r="P98"/>
  <c r="P99"/>
  <c r="P100"/>
  <c r="P101"/>
  <c r="P56"/>
  <c r="S62"/>
  <c r="L57"/>
  <c r="L58"/>
  <c r="L59"/>
  <c r="L60"/>
  <c r="P60"/>
  <c r="L61"/>
  <c r="P61"/>
  <c r="L62"/>
  <c r="P62"/>
  <c r="L63"/>
  <c r="P63"/>
  <c r="L64"/>
  <c r="P64"/>
  <c r="L65"/>
  <c r="P65"/>
  <c r="L66"/>
  <c r="P66"/>
  <c r="L67"/>
  <c r="P67"/>
  <c r="L68"/>
  <c r="P68"/>
  <c r="L69"/>
  <c r="P69"/>
  <c r="L70"/>
  <c r="P70"/>
  <c r="L71"/>
  <c r="P71"/>
  <c r="L72"/>
  <c r="P72"/>
  <c r="L73"/>
  <c r="P73"/>
  <c r="L74"/>
  <c r="P74"/>
  <c r="L75"/>
  <c r="P75"/>
  <c r="L76"/>
  <c r="P76"/>
  <c r="L77"/>
  <c r="P77"/>
  <c r="L78"/>
  <c r="P78"/>
  <c r="L79"/>
  <c r="P79"/>
  <c r="L80"/>
  <c r="P80"/>
  <c r="L81"/>
  <c r="P81"/>
  <c r="P84"/>
  <c r="L82"/>
  <c r="P82"/>
  <c r="P59"/>
  <c r="P58"/>
  <c r="P57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4"/>
  <c r="O82"/>
  <c r="O59"/>
  <c r="O58"/>
  <c r="O57"/>
  <c r="O56"/>
  <c r="N82"/>
  <c r="M81"/>
  <c r="N81"/>
  <c r="N80"/>
  <c r="M79"/>
  <c r="N79"/>
  <c r="N78"/>
  <c r="M77"/>
  <c r="N77"/>
  <c r="N76"/>
  <c r="M75"/>
  <c r="N75"/>
  <c r="N74"/>
  <c r="M73"/>
  <c r="N73"/>
  <c r="N72"/>
  <c r="M71"/>
  <c r="N71"/>
  <c r="N70"/>
  <c r="M69"/>
  <c r="N69"/>
  <c r="N68"/>
  <c r="M67"/>
  <c r="N67"/>
  <c r="N66"/>
  <c r="N64"/>
  <c r="N63"/>
  <c r="N62"/>
  <c r="N60"/>
  <c r="N58"/>
  <c r="M57"/>
  <c r="N57"/>
  <c r="N56"/>
  <c r="M65"/>
  <c r="M61"/>
  <c r="M84"/>
  <c r="N61"/>
  <c r="M59"/>
  <c r="N59"/>
  <c r="N65"/>
  <c r="N84"/>
  <c r="P39"/>
  <c r="P38"/>
  <c r="P37"/>
  <c r="P36"/>
  <c r="P35"/>
  <c r="C30"/>
  <c r="D30"/>
  <c r="E30"/>
  <c r="F30"/>
  <c r="G30"/>
  <c r="H30"/>
  <c r="I30"/>
  <c r="J30"/>
  <c r="K30"/>
  <c r="L30"/>
  <c r="M30"/>
  <c r="N30"/>
  <c r="O30"/>
  <c r="P203" i="10"/>
  <c r="P234"/>
  <c r="P265"/>
  <c r="P296"/>
  <c r="P327"/>
  <c r="P358"/>
  <c r="P389"/>
  <c r="P420"/>
  <c r="P451"/>
  <c r="P482"/>
  <c r="P513"/>
  <c r="P544"/>
  <c r="P575"/>
  <c r="P606"/>
  <c r="P637"/>
  <c r="P668"/>
  <c r="P699"/>
  <c r="P730"/>
  <c r="P761"/>
  <c r="P792"/>
  <c r="P823"/>
  <c r="P854"/>
  <c r="P885"/>
  <c r="P916"/>
  <c r="P947"/>
  <c r="P978"/>
  <c r="P1009"/>
  <c r="P1040"/>
  <c r="P1071"/>
  <c r="P1102"/>
  <c r="P224"/>
  <c r="P246"/>
  <c r="P268"/>
  <c r="P290"/>
  <c r="P312"/>
  <c r="P334"/>
  <c r="P356"/>
  <c r="P378"/>
  <c r="P400"/>
  <c r="P422"/>
  <c r="P444"/>
  <c r="P466"/>
  <c r="P488"/>
  <c r="P510"/>
  <c r="P532"/>
  <c r="P554"/>
  <c r="P576"/>
  <c r="P598"/>
  <c r="P620"/>
  <c r="P642"/>
  <c r="P663"/>
  <c r="P685"/>
  <c r="P707"/>
  <c r="P729"/>
  <c r="P751"/>
  <c r="P773"/>
  <c r="P795"/>
  <c r="P817"/>
  <c r="P839"/>
  <c r="P861"/>
  <c r="P883"/>
  <c r="P905"/>
  <c r="P927"/>
  <c r="P949"/>
  <c r="P971"/>
  <c r="P993"/>
  <c r="P1015"/>
  <c r="P1037"/>
  <c r="P1059"/>
  <c r="P1081"/>
  <c r="P1103"/>
  <c r="P553"/>
  <c r="P566"/>
  <c r="P579"/>
  <c r="P593"/>
  <c r="P633"/>
  <c r="P646"/>
  <c r="P660"/>
  <c r="P673"/>
  <c r="P687"/>
  <c r="P700"/>
  <c r="P713"/>
  <c r="P727"/>
  <c r="P740"/>
  <c r="P754"/>
  <c r="P767"/>
  <c r="P781"/>
  <c r="P794"/>
  <c r="P807"/>
  <c r="P821"/>
  <c r="P834"/>
  <c r="P848"/>
  <c r="P874"/>
  <c r="P888"/>
  <c r="P901"/>
  <c r="P915"/>
  <c r="P928"/>
  <c r="P942"/>
  <c r="P955"/>
  <c r="P968"/>
  <c r="P982"/>
  <c r="P995"/>
  <c r="P1022"/>
  <c r="P1035"/>
  <c r="P1049"/>
  <c r="P1062"/>
  <c r="P1076"/>
  <c r="P1089"/>
  <c r="P353"/>
  <c r="P371"/>
  <c r="P407"/>
  <c r="P426"/>
  <c r="P462"/>
  <c r="P481"/>
  <c r="P499"/>
  <c r="P517"/>
  <c r="P535"/>
  <c r="P572"/>
  <c r="P590"/>
  <c r="P609"/>
  <c r="P627"/>
  <c r="P645"/>
  <c r="P682"/>
  <c r="P718"/>
  <c r="P737"/>
  <c r="P755"/>
  <c r="P810"/>
  <c r="P828"/>
  <c r="P846"/>
  <c r="P865"/>
  <c r="P920"/>
  <c r="P938"/>
  <c r="P956"/>
  <c r="P974"/>
  <c r="P1011"/>
  <c r="P1029"/>
  <c r="P1048"/>
  <c r="P1066"/>
  <c r="P1084"/>
  <c r="D3"/>
  <c r="P3"/>
  <c r="D4"/>
  <c r="P4"/>
  <c r="D5"/>
  <c r="P5"/>
  <c r="D6"/>
  <c r="P6"/>
  <c r="D7"/>
  <c r="P7"/>
  <c r="A8"/>
  <c r="B8"/>
  <c r="C8"/>
  <c r="D8"/>
  <c r="P8"/>
  <c r="D9"/>
  <c r="P9"/>
  <c r="A10"/>
  <c r="B10"/>
  <c r="C10"/>
  <c r="D10"/>
  <c r="P10"/>
  <c r="D11"/>
  <c r="P11"/>
  <c r="A12"/>
  <c r="B12"/>
  <c r="C12"/>
  <c r="D12"/>
  <c r="P12"/>
  <c r="D13"/>
  <c r="P13"/>
  <c r="A14"/>
  <c r="B14"/>
  <c r="C14"/>
  <c r="D14"/>
  <c r="P14"/>
  <c r="D15"/>
  <c r="P15"/>
  <c r="A16"/>
  <c r="B16"/>
  <c r="C16"/>
  <c r="D16"/>
  <c r="P16"/>
  <c r="D17"/>
  <c r="P17"/>
  <c r="A18"/>
  <c r="B18"/>
  <c r="C18"/>
  <c r="D18"/>
  <c r="P18"/>
  <c r="D19"/>
  <c r="P19"/>
  <c r="A20"/>
  <c r="B20"/>
  <c r="C20"/>
  <c r="D20"/>
  <c r="P20"/>
  <c r="D21"/>
  <c r="P21"/>
  <c r="A22"/>
  <c r="B22"/>
  <c r="C22"/>
  <c r="D22"/>
  <c r="P22"/>
  <c r="D23"/>
  <c r="P23"/>
  <c r="A24"/>
  <c r="B24"/>
  <c r="C24"/>
  <c r="D24"/>
  <c r="P24"/>
  <c r="D25"/>
  <c r="P25"/>
  <c r="A26"/>
  <c r="B26"/>
  <c r="C26"/>
  <c r="D26"/>
  <c r="P26"/>
  <c r="D27"/>
  <c r="P27"/>
  <c r="A28"/>
  <c r="B28"/>
  <c r="C28"/>
  <c r="D28"/>
  <c r="P28"/>
  <c r="D29"/>
  <c r="P29"/>
  <c r="A30"/>
  <c r="B30"/>
  <c r="C30"/>
  <c r="D30"/>
  <c r="P30"/>
  <c r="D31"/>
  <c r="P31"/>
  <c r="A32"/>
  <c r="B32"/>
  <c r="C32"/>
  <c r="D32"/>
  <c r="P32"/>
  <c r="D33"/>
  <c r="P33"/>
  <c r="A34"/>
  <c r="B34"/>
  <c r="C34"/>
  <c r="D34"/>
  <c r="P34"/>
  <c r="D35"/>
  <c r="P35"/>
  <c r="A36"/>
  <c r="B36"/>
  <c r="C36"/>
  <c r="D36"/>
  <c r="P36"/>
  <c r="D37"/>
  <c r="P37"/>
  <c r="A38"/>
  <c r="B38"/>
  <c r="C38"/>
  <c r="D38"/>
  <c r="P38"/>
  <c r="D39"/>
  <c r="P39"/>
  <c r="A40"/>
  <c r="B40"/>
  <c r="C40"/>
  <c r="D40"/>
  <c r="P40"/>
  <c r="D41"/>
  <c r="P41"/>
  <c r="D42"/>
  <c r="P42"/>
  <c r="D43"/>
  <c r="P43"/>
  <c r="D44"/>
  <c r="P44"/>
  <c r="D45"/>
  <c r="P45"/>
  <c r="D46"/>
  <c r="P46"/>
  <c r="D47"/>
  <c r="P47"/>
  <c r="P48"/>
  <c r="P49"/>
  <c r="P50"/>
  <c r="P51"/>
  <c r="P52"/>
  <c r="P53"/>
  <c r="P54"/>
  <c r="P55"/>
  <c r="P56"/>
  <c r="U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5"/>
  <c r="P226"/>
  <c r="P227"/>
  <c r="P228"/>
  <c r="P229"/>
  <c r="P230"/>
  <c r="P231"/>
  <c r="P232"/>
  <c r="P233"/>
  <c r="P235"/>
  <c r="P236"/>
  <c r="P237"/>
  <c r="P238"/>
  <c r="P239"/>
  <c r="P240"/>
  <c r="P241"/>
  <c r="P242"/>
  <c r="P243"/>
  <c r="P244"/>
  <c r="P245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6"/>
  <c r="P267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1"/>
  <c r="P292"/>
  <c r="P293"/>
  <c r="P294"/>
  <c r="P295"/>
  <c r="P297"/>
  <c r="P298"/>
  <c r="P299"/>
  <c r="P300"/>
  <c r="P301"/>
  <c r="P302"/>
  <c r="P303"/>
  <c r="P304"/>
  <c r="P305"/>
  <c r="P306"/>
  <c r="P307"/>
  <c r="P308"/>
  <c r="P309"/>
  <c r="P310"/>
  <c r="P311"/>
  <c r="P313"/>
  <c r="P314"/>
  <c r="P315"/>
  <c r="P316"/>
  <c r="P317"/>
  <c r="P318"/>
  <c r="P319"/>
  <c r="P320"/>
  <c r="P321"/>
  <c r="P322"/>
  <c r="P323"/>
  <c r="P324"/>
  <c r="P325"/>
  <c r="P326"/>
  <c r="P328"/>
  <c r="P329"/>
  <c r="P330"/>
  <c r="P331"/>
  <c r="P332"/>
  <c r="P333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4"/>
  <c r="P355"/>
  <c r="P357"/>
  <c r="P359"/>
  <c r="P360"/>
  <c r="P361"/>
  <c r="P362"/>
  <c r="P363"/>
  <c r="P364"/>
  <c r="P365"/>
  <c r="P366"/>
  <c r="P367"/>
  <c r="P368"/>
  <c r="P369"/>
  <c r="P370"/>
  <c r="P372"/>
  <c r="P373"/>
  <c r="P374"/>
  <c r="P375"/>
  <c r="P376"/>
  <c r="P377"/>
  <c r="P379"/>
  <c r="P380"/>
  <c r="P381"/>
  <c r="P382"/>
  <c r="P383"/>
  <c r="P384"/>
  <c r="P385"/>
  <c r="P386"/>
  <c r="P387"/>
  <c r="P388"/>
  <c r="P390"/>
  <c r="P391"/>
  <c r="P392"/>
  <c r="P393"/>
  <c r="P394"/>
  <c r="P395"/>
  <c r="P396"/>
  <c r="P397"/>
  <c r="P398"/>
  <c r="P399"/>
  <c r="P401"/>
  <c r="P402"/>
  <c r="P403"/>
  <c r="P404"/>
  <c r="P405"/>
  <c r="P406"/>
  <c r="P408"/>
  <c r="P409"/>
  <c r="P410"/>
  <c r="P411"/>
  <c r="P412"/>
  <c r="P413"/>
  <c r="P414"/>
  <c r="P415"/>
  <c r="P416"/>
  <c r="P417"/>
  <c r="P418"/>
  <c r="P419"/>
  <c r="P421"/>
  <c r="P423"/>
  <c r="P424"/>
  <c r="P425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5"/>
  <c r="P446"/>
  <c r="P447"/>
  <c r="P448"/>
  <c r="P449"/>
  <c r="P450"/>
  <c r="P452"/>
  <c r="P453"/>
  <c r="P454"/>
  <c r="P455"/>
  <c r="P456"/>
  <c r="P457"/>
  <c r="P458"/>
  <c r="P459"/>
  <c r="P460"/>
  <c r="P461"/>
  <c r="P463"/>
  <c r="P464"/>
  <c r="P465"/>
  <c r="P467"/>
  <c r="P468"/>
  <c r="P469"/>
  <c r="P470"/>
  <c r="P471"/>
  <c r="P472"/>
  <c r="P473"/>
  <c r="P474"/>
  <c r="P475"/>
  <c r="P476"/>
  <c r="P477"/>
  <c r="P478"/>
  <c r="P479"/>
  <c r="P480"/>
  <c r="P483"/>
  <c r="P484"/>
  <c r="P485"/>
  <c r="P486"/>
  <c r="P487"/>
  <c r="P489"/>
  <c r="P490"/>
  <c r="P491"/>
  <c r="P492"/>
  <c r="P493"/>
  <c r="P494"/>
  <c r="P495"/>
  <c r="P496"/>
  <c r="P497"/>
  <c r="P498"/>
  <c r="P500"/>
  <c r="P501"/>
  <c r="P502"/>
  <c r="P503"/>
  <c r="P504"/>
  <c r="P505"/>
  <c r="P506"/>
  <c r="P507"/>
  <c r="P508"/>
  <c r="P509"/>
  <c r="P511"/>
  <c r="P512"/>
  <c r="P514"/>
  <c r="P515"/>
  <c r="P516"/>
  <c r="P518"/>
  <c r="P519"/>
  <c r="P520"/>
  <c r="P521"/>
  <c r="P522"/>
  <c r="P523"/>
  <c r="P524"/>
  <c r="P525"/>
  <c r="P526"/>
  <c r="P527"/>
  <c r="P528"/>
  <c r="P529"/>
  <c r="P530"/>
  <c r="P531"/>
  <c r="P533"/>
  <c r="P534"/>
  <c r="P536"/>
  <c r="P537"/>
  <c r="P538"/>
  <c r="P539"/>
  <c r="P540"/>
  <c r="P541"/>
  <c r="P542"/>
  <c r="P543"/>
  <c r="P545"/>
  <c r="P546"/>
  <c r="P547"/>
  <c r="P548"/>
  <c r="P549"/>
  <c r="P550"/>
  <c r="P551"/>
  <c r="P552"/>
  <c r="P555"/>
  <c r="P556"/>
  <c r="P557"/>
  <c r="P558"/>
  <c r="P559"/>
  <c r="P560"/>
  <c r="P561"/>
  <c r="P562"/>
  <c r="P563"/>
  <c r="P564"/>
  <c r="P565"/>
  <c r="P567"/>
  <c r="P568"/>
  <c r="P569"/>
  <c r="P570"/>
  <c r="P571"/>
  <c r="P573"/>
  <c r="P574"/>
  <c r="P577"/>
  <c r="P578"/>
  <c r="P580"/>
  <c r="P581"/>
  <c r="P582"/>
  <c r="P583"/>
  <c r="P584"/>
  <c r="P585"/>
  <c r="P586"/>
  <c r="P587"/>
  <c r="P588"/>
  <c r="P589"/>
  <c r="P591"/>
  <c r="P592"/>
  <c r="P594"/>
  <c r="P595"/>
  <c r="P596"/>
  <c r="P597"/>
  <c r="P599"/>
  <c r="P600"/>
  <c r="P601"/>
  <c r="P602"/>
  <c r="P603"/>
  <c r="P604"/>
  <c r="P605"/>
  <c r="P607"/>
  <c r="P608"/>
  <c r="P610"/>
  <c r="P611"/>
  <c r="P612"/>
  <c r="P613"/>
  <c r="P614"/>
  <c r="P615"/>
  <c r="P616"/>
  <c r="P617"/>
  <c r="P618"/>
  <c r="P619"/>
  <c r="P621"/>
  <c r="P622"/>
  <c r="P623"/>
  <c r="P624"/>
  <c r="P625"/>
  <c r="P626"/>
  <c r="P628"/>
  <c r="P629"/>
  <c r="P630"/>
  <c r="P631"/>
  <c r="P632"/>
  <c r="P634"/>
  <c r="P635"/>
  <c r="P636"/>
  <c r="P638"/>
  <c r="P639"/>
  <c r="P640"/>
  <c r="P641"/>
  <c r="P643"/>
  <c r="P644"/>
  <c r="P647"/>
  <c r="P648"/>
  <c r="P649"/>
  <c r="P650"/>
  <c r="P651"/>
  <c r="P652"/>
  <c r="P653"/>
  <c r="P654"/>
  <c r="P655"/>
  <c r="P656"/>
  <c r="P657"/>
  <c r="P658"/>
  <c r="P659"/>
  <c r="P661"/>
  <c r="P662"/>
  <c r="P664"/>
  <c r="P665"/>
  <c r="P666"/>
  <c r="P667"/>
  <c r="P669"/>
  <c r="P670"/>
  <c r="P671"/>
  <c r="P672"/>
  <c r="P674"/>
  <c r="P675"/>
  <c r="P676"/>
  <c r="P677"/>
  <c r="P678"/>
  <c r="P679"/>
  <c r="P680"/>
  <c r="P681"/>
  <c r="P683"/>
  <c r="P684"/>
  <c r="P686"/>
  <c r="P688"/>
  <c r="P689"/>
  <c r="P690"/>
  <c r="P691"/>
  <c r="P692"/>
  <c r="P693"/>
  <c r="P694"/>
  <c r="P695"/>
  <c r="P696"/>
  <c r="P697"/>
  <c r="P698"/>
  <c r="P701"/>
  <c r="P702"/>
  <c r="P703"/>
  <c r="P704"/>
  <c r="P705"/>
  <c r="P706"/>
  <c r="P708"/>
  <c r="P709"/>
  <c r="P710"/>
  <c r="P711"/>
  <c r="P712"/>
  <c r="P714"/>
  <c r="P715"/>
  <c r="P716"/>
  <c r="P717"/>
  <c r="P719"/>
  <c r="P720"/>
  <c r="P721"/>
  <c r="P722"/>
  <c r="P723"/>
  <c r="P724"/>
  <c r="P725"/>
  <c r="P726"/>
  <c r="P728"/>
  <c r="P731"/>
  <c r="P732"/>
  <c r="P733"/>
  <c r="P734"/>
  <c r="P735"/>
  <c r="P736"/>
  <c r="P738"/>
  <c r="P739"/>
  <c r="P741"/>
  <c r="P742"/>
  <c r="P743"/>
  <c r="P744"/>
  <c r="P745"/>
  <c r="P746"/>
  <c r="P747"/>
  <c r="P748"/>
  <c r="P749"/>
  <c r="P750"/>
  <c r="P752"/>
  <c r="P753"/>
  <c r="P756"/>
  <c r="P757"/>
  <c r="P758"/>
  <c r="P759"/>
  <c r="P760"/>
  <c r="P762"/>
  <c r="P763"/>
  <c r="P764"/>
  <c r="P765"/>
  <c r="P766"/>
  <c r="P768"/>
  <c r="P769"/>
  <c r="P770"/>
  <c r="P771"/>
  <c r="P772"/>
  <c r="P774"/>
  <c r="P775"/>
  <c r="P776"/>
  <c r="P777"/>
  <c r="P778"/>
  <c r="P779"/>
  <c r="P780"/>
  <c r="P782"/>
  <c r="P783"/>
  <c r="P784"/>
  <c r="P785"/>
  <c r="P786"/>
  <c r="P787"/>
  <c r="P788"/>
  <c r="P789"/>
  <c r="P790"/>
  <c r="P791"/>
  <c r="P793"/>
  <c r="P796"/>
  <c r="P797"/>
  <c r="P798"/>
  <c r="P799"/>
  <c r="P800"/>
  <c r="P801"/>
  <c r="P802"/>
  <c r="P803"/>
  <c r="P804"/>
  <c r="P805"/>
  <c r="P806"/>
  <c r="P808"/>
  <c r="P809"/>
  <c r="P811"/>
  <c r="P812"/>
  <c r="P813"/>
  <c r="P814"/>
  <c r="P815"/>
  <c r="P816"/>
  <c r="P818"/>
  <c r="P819"/>
  <c r="P820"/>
  <c r="P822"/>
  <c r="P824"/>
  <c r="P825"/>
  <c r="P826"/>
  <c r="P827"/>
  <c r="P829"/>
  <c r="P830"/>
  <c r="P831"/>
  <c r="P832"/>
  <c r="P833"/>
  <c r="P835"/>
  <c r="P836"/>
  <c r="P837"/>
  <c r="P838"/>
  <c r="P840"/>
  <c r="P841"/>
  <c r="P842"/>
  <c r="P843"/>
  <c r="P844"/>
  <c r="P845"/>
  <c r="P847"/>
  <c r="P849"/>
  <c r="P850"/>
  <c r="P851"/>
  <c r="P852"/>
  <c r="P853"/>
  <c r="P855"/>
  <c r="P856"/>
  <c r="P857"/>
  <c r="P858"/>
  <c r="P859"/>
  <c r="P860"/>
  <c r="P862"/>
  <c r="P863"/>
  <c r="P864"/>
  <c r="P866"/>
  <c r="P867"/>
  <c r="P868"/>
  <c r="P869"/>
  <c r="P870"/>
  <c r="P871"/>
  <c r="P872"/>
  <c r="P873"/>
  <c r="P875"/>
  <c r="P876"/>
  <c r="P877"/>
  <c r="P878"/>
  <c r="P879"/>
  <c r="P880"/>
  <c r="P881"/>
  <c r="P882"/>
  <c r="P884"/>
  <c r="P886"/>
  <c r="P887"/>
  <c r="P889"/>
  <c r="P890"/>
  <c r="P891"/>
  <c r="P892"/>
  <c r="P893"/>
  <c r="P894"/>
  <c r="P895"/>
  <c r="P896"/>
  <c r="P897"/>
  <c r="P898"/>
  <c r="P899"/>
  <c r="P900"/>
  <c r="P902"/>
  <c r="P903"/>
  <c r="P904"/>
  <c r="P906"/>
  <c r="P907"/>
  <c r="P908"/>
  <c r="P909"/>
  <c r="P910"/>
  <c r="P911"/>
  <c r="P912"/>
  <c r="P913"/>
  <c r="P914"/>
  <c r="P917"/>
  <c r="P918"/>
  <c r="P919"/>
  <c r="P921"/>
  <c r="P922"/>
  <c r="P923"/>
  <c r="P924"/>
  <c r="P925"/>
  <c r="P926"/>
  <c r="P929"/>
  <c r="P930"/>
  <c r="P931"/>
  <c r="P932"/>
  <c r="P933"/>
  <c r="P934"/>
  <c r="P935"/>
  <c r="P936"/>
  <c r="P937"/>
  <c r="P939"/>
  <c r="P940"/>
  <c r="P941"/>
  <c r="P943"/>
  <c r="P944"/>
  <c r="P945"/>
  <c r="P946"/>
  <c r="P948"/>
  <c r="P950"/>
  <c r="P951"/>
  <c r="P952"/>
  <c r="P953"/>
  <c r="P954"/>
  <c r="P957"/>
  <c r="P958"/>
  <c r="P959"/>
  <c r="P960"/>
  <c r="P961"/>
  <c r="P962"/>
  <c r="P963"/>
  <c r="P964"/>
  <c r="P965"/>
  <c r="P966"/>
  <c r="P967"/>
  <c r="P969"/>
  <c r="P970"/>
  <c r="P972"/>
  <c r="P973"/>
  <c r="P975"/>
  <c r="P976"/>
  <c r="P977"/>
  <c r="P979"/>
  <c r="P980"/>
  <c r="P981"/>
  <c r="P983"/>
  <c r="P984"/>
  <c r="P985"/>
  <c r="P986"/>
  <c r="P987"/>
  <c r="P988"/>
  <c r="P989"/>
  <c r="P990"/>
  <c r="P991"/>
  <c r="P992"/>
  <c r="P994"/>
  <c r="P996"/>
  <c r="P997"/>
  <c r="P998"/>
  <c r="P999"/>
  <c r="P1000"/>
  <c r="P1001"/>
  <c r="P1002"/>
  <c r="P1003"/>
  <c r="P1004"/>
  <c r="P1005"/>
  <c r="P1006"/>
  <c r="P1007"/>
  <c r="P1008"/>
  <c r="P1010"/>
  <c r="P1012"/>
  <c r="P1013"/>
  <c r="P1014"/>
  <c r="P1016"/>
  <c r="P1017"/>
  <c r="P1018"/>
  <c r="P1019"/>
  <c r="P1020"/>
  <c r="P1021"/>
  <c r="P1023"/>
  <c r="P1024"/>
  <c r="P1025"/>
  <c r="P1026"/>
  <c r="P1027"/>
  <c r="P1028"/>
  <c r="P1030"/>
  <c r="P1031"/>
  <c r="P1032"/>
  <c r="P1033"/>
  <c r="P1034"/>
  <c r="P1036"/>
  <c r="P1038"/>
  <c r="P1039"/>
  <c r="P1041"/>
  <c r="P1042"/>
  <c r="P1043"/>
  <c r="P1044"/>
  <c r="P1045"/>
  <c r="P1046"/>
  <c r="P1047"/>
  <c r="P1050"/>
  <c r="P1051"/>
  <c r="P1052"/>
  <c r="P1053"/>
  <c r="P1054"/>
  <c r="P1055"/>
  <c r="P1056"/>
  <c r="P1057"/>
  <c r="P1058"/>
  <c r="P1060"/>
  <c r="P1061"/>
  <c r="P1063"/>
  <c r="P1064"/>
  <c r="P1065"/>
  <c r="P1067"/>
  <c r="P1068"/>
  <c r="P1069"/>
  <c r="P1070"/>
  <c r="P1072"/>
  <c r="P1073"/>
  <c r="P1074"/>
  <c r="P1075"/>
  <c r="P1077"/>
  <c r="P1078"/>
  <c r="P1079"/>
  <c r="P1080"/>
  <c r="P1082"/>
  <c r="P1083"/>
  <c r="P1085"/>
  <c r="P1086"/>
  <c r="P1087"/>
  <c r="P1088"/>
  <c r="P1090"/>
  <c r="P1091"/>
  <c r="P1092"/>
  <c r="P1093"/>
  <c r="P1094"/>
  <c r="P1095"/>
  <c r="P1096"/>
  <c r="P1097"/>
  <c r="P1098"/>
  <c r="P1099"/>
  <c r="P1100"/>
  <c r="P1101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I5" i="47"/>
  <c r="I4"/>
  <c r="H5"/>
  <c r="H4"/>
  <c r="G5"/>
  <c r="G4"/>
  <c r="F5"/>
  <c r="F4"/>
  <c r="E5"/>
  <c r="E4"/>
  <c r="I3"/>
  <c r="H3"/>
  <c r="G3"/>
  <c r="F3"/>
  <c r="E3"/>
  <c r="D5"/>
  <c r="D3"/>
  <c r="D4"/>
  <c r="K5"/>
  <c r="K4"/>
  <c r="J5"/>
  <c r="J4"/>
  <c r="C5"/>
  <c r="C4"/>
  <c r="H8"/>
  <c r="H7"/>
  <c r="H6"/>
  <c r="F7"/>
  <c r="F8"/>
  <c r="F6"/>
  <c r="G7"/>
  <c r="G6"/>
  <c r="G8"/>
  <c r="J8"/>
  <c r="J7"/>
  <c r="J6"/>
  <c r="C6"/>
  <c r="C8"/>
  <c r="C7"/>
  <c r="E6"/>
  <c r="E7"/>
  <c r="E8"/>
  <c r="D6"/>
  <c r="D7"/>
  <c r="D8"/>
  <c r="I7"/>
  <c r="I6"/>
  <c r="I8"/>
  <c r="K7"/>
  <c r="K6"/>
  <c r="K8"/>
  <c r="A400" i="46"/>
  <c r="A598"/>
  <c r="A697"/>
  <c r="A5"/>
  <c r="G5"/>
  <c r="J5"/>
  <c r="K5"/>
  <c r="A6"/>
  <c r="G6"/>
  <c r="J6"/>
  <c r="K6"/>
  <c r="A7"/>
  <c r="G7"/>
  <c r="J7"/>
  <c r="K7"/>
  <c r="A8"/>
  <c r="G8"/>
  <c r="J8"/>
  <c r="K8"/>
  <c r="A9"/>
  <c r="G9"/>
  <c r="J9"/>
  <c r="K9"/>
  <c r="A10"/>
  <c r="G10"/>
  <c r="J10"/>
  <c r="K10"/>
  <c r="A11"/>
  <c r="G11"/>
  <c r="J11"/>
  <c r="K11"/>
  <c r="A12"/>
  <c r="G12"/>
  <c r="J12"/>
  <c r="K12"/>
  <c r="A13"/>
  <c r="G13"/>
  <c r="J13"/>
  <c r="K13"/>
  <c r="A14"/>
  <c r="G14"/>
  <c r="J14"/>
  <c r="K14"/>
  <c r="A15"/>
  <c r="G15"/>
  <c r="J15"/>
  <c r="K15"/>
  <c r="A16"/>
  <c r="G16"/>
  <c r="J16"/>
  <c r="K16"/>
  <c r="A17"/>
  <c r="G17"/>
  <c r="J17"/>
  <c r="K17"/>
  <c r="A18"/>
  <c r="G18"/>
  <c r="J18"/>
  <c r="K18"/>
  <c r="A19"/>
  <c r="G19"/>
  <c r="J19"/>
  <c r="K19"/>
  <c r="A20"/>
  <c r="G20"/>
  <c r="J20"/>
  <c r="K20"/>
  <c r="A21"/>
  <c r="G21"/>
  <c r="J21"/>
  <c r="K21"/>
  <c r="A22"/>
  <c r="G22"/>
  <c r="J22"/>
  <c r="K22"/>
  <c r="A23"/>
  <c r="G23"/>
  <c r="J23"/>
  <c r="K23"/>
  <c r="A24"/>
  <c r="G24"/>
  <c r="J24"/>
  <c r="K24"/>
  <c r="A25"/>
  <c r="G25"/>
  <c r="J25"/>
  <c r="K25"/>
  <c r="A26"/>
  <c r="G26"/>
  <c r="J26"/>
  <c r="K26"/>
  <c r="A27"/>
  <c r="G27"/>
  <c r="J27"/>
  <c r="K27"/>
  <c r="A28"/>
  <c r="G28"/>
  <c r="J28"/>
  <c r="K28"/>
  <c r="A29"/>
  <c r="G29"/>
  <c r="J29"/>
  <c r="K29"/>
  <c r="A30"/>
  <c r="G30"/>
  <c r="J30"/>
  <c r="K30"/>
  <c r="A31"/>
  <c r="G31"/>
  <c r="J31"/>
  <c r="K31"/>
  <c r="A32"/>
  <c r="G32"/>
  <c r="J32"/>
  <c r="K32"/>
  <c r="A33"/>
  <c r="G33"/>
  <c r="J33"/>
  <c r="K33"/>
  <c r="A34"/>
  <c r="G34"/>
  <c r="J34"/>
  <c r="K34"/>
  <c r="A35"/>
  <c r="G35"/>
  <c r="J35"/>
  <c r="K35"/>
  <c r="A36"/>
  <c r="G36"/>
  <c r="J36"/>
  <c r="K36"/>
  <c r="A37"/>
  <c r="G37"/>
  <c r="J37"/>
  <c r="K37"/>
  <c r="A38"/>
  <c r="G38"/>
  <c r="J38"/>
  <c r="K38"/>
  <c r="A39"/>
  <c r="G39"/>
  <c r="J39"/>
  <c r="K39"/>
  <c r="A40"/>
  <c r="G40"/>
  <c r="J40"/>
  <c r="K40"/>
  <c r="A41"/>
  <c r="G41"/>
  <c r="J41"/>
  <c r="K41"/>
  <c r="A42"/>
  <c r="G42"/>
  <c r="J42"/>
  <c r="K42"/>
  <c r="A43"/>
  <c r="G43"/>
  <c r="J43"/>
  <c r="K43"/>
  <c r="A44"/>
  <c r="G44"/>
  <c r="J44"/>
  <c r="K44"/>
  <c r="A45"/>
  <c r="G45"/>
  <c r="J45"/>
  <c r="K45"/>
  <c r="A46"/>
  <c r="G46"/>
  <c r="J46"/>
  <c r="K46"/>
  <c r="A47"/>
  <c r="G47"/>
  <c r="J47"/>
  <c r="K47"/>
  <c r="A48"/>
  <c r="G48"/>
  <c r="J48"/>
  <c r="K48"/>
  <c r="A49"/>
  <c r="G49"/>
  <c r="J49"/>
  <c r="K49"/>
  <c r="A50"/>
  <c r="G50"/>
  <c r="J50"/>
  <c r="K50"/>
  <c r="A51"/>
  <c r="G51"/>
  <c r="J51"/>
  <c r="K51"/>
  <c r="A52"/>
  <c r="G52"/>
  <c r="J52"/>
  <c r="K52"/>
  <c r="A53"/>
  <c r="G53"/>
  <c r="J53"/>
  <c r="K53"/>
  <c r="A54"/>
  <c r="G54"/>
  <c r="J54"/>
  <c r="K54"/>
  <c r="A55"/>
  <c r="G55"/>
  <c r="J55"/>
  <c r="K55"/>
  <c r="A56"/>
  <c r="G56"/>
  <c r="J56"/>
  <c r="K56"/>
  <c r="A57"/>
  <c r="G57"/>
  <c r="J57"/>
  <c r="K57"/>
  <c r="A58"/>
  <c r="G58"/>
  <c r="J58"/>
  <c r="K58"/>
  <c r="A59"/>
  <c r="G59"/>
  <c r="J59"/>
  <c r="K59"/>
  <c r="A60"/>
  <c r="G60"/>
  <c r="J60"/>
  <c r="K60"/>
  <c r="A61"/>
  <c r="G61"/>
  <c r="J61"/>
  <c r="K61"/>
  <c r="A62"/>
  <c r="G62"/>
  <c r="J62"/>
  <c r="K62"/>
  <c r="A63"/>
  <c r="G63"/>
  <c r="J63"/>
  <c r="K63"/>
  <c r="A64"/>
  <c r="G64"/>
  <c r="J64"/>
  <c r="K64"/>
  <c r="A65"/>
  <c r="G65"/>
  <c r="J65"/>
  <c r="K65"/>
  <c r="A66"/>
  <c r="G66"/>
  <c r="J66"/>
  <c r="K66"/>
  <c r="A67"/>
  <c r="G67"/>
  <c r="J67"/>
  <c r="K67"/>
  <c r="A68"/>
  <c r="G68"/>
  <c r="J68"/>
  <c r="K68"/>
  <c r="A69"/>
  <c r="G69"/>
  <c r="J69"/>
  <c r="K69"/>
  <c r="A70"/>
  <c r="G70"/>
  <c r="J70"/>
  <c r="K70"/>
  <c r="A71"/>
  <c r="G71"/>
  <c r="J71"/>
  <c r="K71"/>
  <c r="A72"/>
  <c r="G72"/>
  <c r="J72"/>
  <c r="K72"/>
  <c r="A73"/>
  <c r="G73"/>
  <c r="J73"/>
  <c r="K73"/>
  <c r="A74"/>
  <c r="G74"/>
  <c r="J74"/>
  <c r="K74"/>
  <c r="A75"/>
  <c r="G75"/>
  <c r="J75"/>
  <c r="K75"/>
  <c r="A76"/>
  <c r="G76"/>
  <c r="J76"/>
  <c r="K76"/>
  <c r="A77"/>
  <c r="G77"/>
  <c r="J77"/>
  <c r="K77"/>
  <c r="A78"/>
  <c r="G78"/>
  <c r="J78"/>
  <c r="K78"/>
  <c r="A79"/>
  <c r="G79"/>
  <c r="J79"/>
  <c r="K79"/>
  <c r="A80"/>
  <c r="G80"/>
  <c r="J80"/>
  <c r="K80"/>
  <c r="A81"/>
  <c r="G81"/>
  <c r="J81"/>
  <c r="K81"/>
  <c r="A82"/>
  <c r="G82"/>
  <c r="J82"/>
  <c r="K82"/>
  <c r="A83"/>
  <c r="G83"/>
  <c r="J83"/>
  <c r="K83"/>
  <c r="A84"/>
  <c r="G84"/>
  <c r="J84"/>
  <c r="K84"/>
  <c r="A85"/>
  <c r="G85"/>
  <c r="J85"/>
  <c r="K85"/>
  <c r="A86"/>
  <c r="G86"/>
  <c r="J86"/>
  <c r="K86"/>
  <c r="A87"/>
  <c r="G87"/>
  <c r="J87"/>
  <c r="K87"/>
  <c r="A88"/>
  <c r="G88"/>
  <c r="J88"/>
  <c r="K88"/>
  <c r="A89"/>
  <c r="G89"/>
  <c r="J89"/>
  <c r="K89"/>
  <c r="A90"/>
  <c r="G90"/>
  <c r="J90"/>
  <c r="K90"/>
  <c r="A91"/>
  <c r="G91"/>
  <c r="J91"/>
  <c r="K91"/>
  <c r="A92"/>
  <c r="G92"/>
  <c r="J92"/>
  <c r="K92"/>
  <c r="A93"/>
  <c r="G93"/>
  <c r="J93"/>
  <c r="K93"/>
  <c r="A94"/>
  <c r="G94"/>
  <c r="J94"/>
  <c r="K94"/>
  <c r="A95"/>
  <c r="G95"/>
  <c r="J95"/>
  <c r="K95"/>
  <c r="A96"/>
  <c r="G96"/>
  <c r="J96"/>
  <c r="K96"/>
  <c r="A97"/>
  <c r="G97"/>
  <c r="J97"/>
  <c r="K97"/>
  <c r="A98"/>
  <c r="G98"/>
  <c r="J98"/>
  <c r="K98"/>
  <c r="A99"/>
  <c r="G99"/>
  <c r="J99"/>
  <c r="K99"/>
  <c r="A100"/>
  <c r="G100"/>
  <c r="J100"/>
  <c r="K100"/>
  <c r="A101"/>
  <c r="G101"/>
  <c r="J101"/>
  <c r="K101"/>
  <c r="A102"/>
  <c r="G102"/>
  <c r="J102"/>
  <c r="K102"/>
  <c r="A103"/>
  <c r="G103"/>
  <c r="J103"/>
  <c r="K103"/>
  <c r="A104"/>
  <c r="G104"/>
  <c r="J104"/>
  <c r="K104"/>
  <c r="A105"/>
  <c r="G105"/>
  <c r="J105"/>
  <c r="K105"/>
  <c r="A106"/>
  <c r="G106"/>
  <c r="J106"/>
  <c r="K106"/>
  <c r="A107"/>
  <c r="G107"/>
  <c r="J107"/>
  <c r="K107"/>
  <c r="A108"/>
  <c r="G108"/>
  <c r="J108"/>
  <c r="K108"/>
  <c r="A109"/>
  <c r="G109"/>
  <c r="J109"/>
  <c r="K109"/>
  <c r="A110"/>
  <c r="G110"/>
  <c r="J110"/>
  <c r="K110"/>
  <c r="A111"/>
  <c r="G111"/>
  <c r="J111"/>
  <c r="K111"/>
  <c r="A112"/>
  <c r="G112"/>
  <c r="J112"/>
  <c r="K112"/>
  <c r="A113"/>
  <c r="G113"/>
  <c r="J113"/>
  <c r="K113"/>
  <c r="A114"/>
  <c r="G114"/>
  <c r="J114"/>
  <c r="K114"/>
  <c r="A115"/>
  <c r="G115"/>
  <c r="J115"/>
  <c r="K115"/>
  <c r="A116"/>
  <c r="G116"/>
  <c r="J116"/>
  <c r="K116"/>
  <c r="A117"/>
  <c r="G117"/>
  <c r="J117"/>
  <c r="K117"/>
  <c r="A118"/>
  <c r="G118"/>
  <c r="J118"/>
  <c r="K118"/>
  <c r="A119"/>
  <c r="G119"/>
  <c r="J119"/>
  <c r="K119"/>
  <c r="A120"/>
  <c r="G120"/>
  <c r="J120"/>
  <c r="K120"/>
  <c r="A121"/>
  <c r="G121"/>
  <c r="J121"/>
  <c r="K121"/>
  <c r="A122"/>
  <c r="G122"/>
  <c r="J122"/>
  <c r="K122"/>
  <c r="A123"/>
  <c r="G123"/>
  <c r="J123"/>
  <c r="K123"/>
  <c r="A124"/>
  <c r="G124"/>
  <c r="J124"/>
  <c r="K124"/>
  <c r="A125"/>
  <c r="G125"/>
  <c r="J125"/>
  <c r="K125"/>
  <c r="A126"/>
  <c r="G126"/>
  <c r="J126"/>
  <c r="K126"/>
  <c r="A127"/>
  <c r="G127"/>
  <c r="J127"/>
  <c r="K127"/>
  <c r="A128"/>
  <c r="G128"/>
  <c r="J128"/>
  <c r="K128"/>
  <c r="A129"/>
  <c r="G129"/>
  <c r="J129"/>
  <c r="K129"/>
  <c r="A130"/>
  <c r="G130"/>
  <c r="J130"/>
  <c r="K130"/>
  <c r="A131"/>
  <c r="G131"/>
  <c r="J131"/>
  <c r="K131"/>
  <c r="A132"/>
  <c r="G132"/>
  <c r="J132"/>
  <c r="K132"/>
  <c r="A133"/>
  <c r="G133"/>
  <c r="J133"/>
  <c r="K133"/>
  <c r="A134"/>
  <c r="G134"/>
  <c r="J134"/>
  <c r="K134"/>
  <c r="A135"/>
  <c r="G135"/>
  <c r="J135"/>
  <c r="K135"/>
  <c r="A136"/>
  <c r="G136"/>
  <c r="J136"/>
  <c r="K136"/>
  <c r="A137"/>
  <c r="G137"/>
  <c r="J137"/>
  <c r="K137"/>
  <c r="A138"/>
  <c r="G138"/>
  <c r="J138"/>
  <c r="K138"/>
  <c r="A139"/>
  <c r="G139"/>
  <c r="J139"/>
  <c r="K139"/>
  <c r="A140"/>
  <c r="G140"/>
  <c r="J140"/>
  <c r="K140"/>
  <c r="A141"/>
  <c r="G141"/>
  <c r="J141"/>
  <c r="K141"/>
  <c r="A142"/>
  <c r="G142"/>
  <c r="J142"/>
  <c r="K142"/>
  <c r="A143"/>
  <c r="G143"/>
  <c r="J143"/>
  <c r="K143"/>
  <c r="A144"/>
  <c r="G144"/>
  <c r="J144"/>
  <c r="K144"/>
  <c r="A145"/>
  <c r="G145"/>
  <c r="J145"/>
  <c r="K145"/>
  <c r="A146"/>
  <c r="G146"/>
  <c r="J146"/>
  <c r="K146"/>
  <c r="A147"/>
  <c r="G147"/>
  <c r="J147"/>
  <c r="K147"/>
  <c r="A148"/>
  <c r="G148"/>
  <c r="J148"/>
  <c r="K148"/>
  <c r="A149"/>
  <c r="G149"/>
  <c r="J149"/>
  <c r="K149"/>
  <c r="A150"/>
  <c r="G150"/>
  <c r="J150"/>
  <c r="K150"/>
  <c r="A151"/>
  <c r="G151"/>
  <c r="J151"/>
  <c r="K151"/>
  <c r="A152"/>
  <c r="G152"/>
  <c r="J152"/>
  <c r="K152"/>
  <c r="A153"/>
  <c r="G153"/>
  <c r="J153"/>
  <c r="K153"/>
  <c r="A154"/>
  <c r="G154"/>
  <c r="J154"/>
  <c r="K154"/>
  <c r="A155"/>
  <c r="G155"/>
  <c r="J155"/>
  <c r="K155"/>
  <c r="A156"/>
  <c r="G156"/>
  <c r="J156"/>
  <c r="K156"/>
  <c r="A157"/>
  <c r="G157"/>
  <c r="J157"/>
  <c r="K157"/>
  <c r="A158"/>
  <c r="G158"/>
  <c r="J158"/>
  <c r="K158"/>
  <c r="A159"/>
  <c r="G159"/>
  <c r="J159"/>
  <c r="K159"/>
  <c r="A160"/>
  <c r="G160"/>
  <c r="J160"/>
  <c r="K160"/>
  <c r="A161"/>
  <c r="G161"/>
  <c r="J161"/>
  <c r="K161"/>
  <c r="A162"/>
  <c r="G162"/>
  <c r="J162"/>
  <c r="K162"/>
  <c r="A163"/>
  <c r="G163"/>
  <c r="J163"/>
  <c r="K163"/>
  <c r="A164"/>
  <c r="G164"/>
  <c r="J164"/>
  <c r="K164"/>
  <c r="A165"/>
  <c r="G165"/>
  <c r="J165"/>
  <c r="K165"/>
  <c r="A166"/>
  <c r="G166"/>
  <c r="J166"/>
  <c r="K166"/>
  <c r="A167"/>
  <c r="G167"/>
  <c r="J167"/>
  <c r="K167"/>
  <c r="A168"/>
  <c r="G168"/>
  <c r="J168"/>
  <c r="K168"/>
  <c r="A169"/>
  <c r="G169"/>
  <c r="J169"/>
  <c r="K169"/>
  <c r="A170"/>
  <c r="G170"/>
  <c r="J170"/>
  <c r="K170"/>
  <c r="A171"/>
  <c r="G171"/>
  <c r="J171"/>
  <c r="K171"/>
  <c r="A172"/>
  <c r="G172"/>
  <c r="J172"/>
  <c r="K172"/>
  <c r="A173"/>
  <c r="G173"/>
  <c r="J173"/>
  <c r="K173"/>
  <c r="A174"/>
  <c r="G174"/>
  <c r="J174"/>
  <c r="K174"/>
  <c r="A175"/>
  <c r="G175"/>
  <c r="J175"/>
  <c r="K175"/>
  <c r="A176"/>
  <c r="G176"/>
  <c r="J176"/>
  <c r="K176"/>
  <c r="A177"/>
  <c r="G177"/>
  <c r="J177"/>
  <c r="K177"/>
  <c r="A178"/>
  <c r="G178"/>
  <c r="J178"/>
  <c r="K178"/>
  <c r="A179"/>
  <c r="G179"/>
  <c r="J179"/>
  <c r="K179"/>
  <c r="A180"/>
  <c r="G180"/>
  <c r="J180"/>
  <c r="K180"/>
  <c r="A181"/>
  <c r="G181"/>
  <c r="J181"/>
  <c r="K181"/>
  <c r="A182"/>
  <c r="G182"/>
  <c r="J182"/>
  <c r="K182"/>
  <c r="A183"/>
  <c r="G183"/>
  <c r="J183"/>
  <c r="K183"/>
  <c r="A184"/>
  <c r="G184"/>
  <c r="J184"/>
  <c r="K184"/>
  <c r="A185"/>
  <c r="G185"/>
  <c r="J185"/>
  <c r="K185"/>
  <c r="A186"/>
  <c r="G186"/>
  <c r="J186"/>
  <c r="K186"/>
  <c r="A187"/>
  <c r="G187"/>
  <c r="J187"/>
  <c r="K187"/>
  <c r="A188"/>
  <c r="G188"/>
  <c r="J188"/>
  <c r="K188"/>
  <c r="A189"/>
  <c r="G189"/>
  <c r="J189"/>
  <c r="K189"/>
  <c r="A190"/>
  <c r="G190"/>
  <c r="J190"/>
  <c r="K190"/>
  <c r="A191"/>
  <c r="G191"/>
  <c r="J191"/>
  <c r="K191"/>
  <c r="A192"/>
  <c r="G192"/>
  <c r="J192"/>
  <c r="K192"/>
  <c r="A193"/>
  <c r="G193"/>
  <c r="J193"/>
  <c r="K193"/>
  <c r="A194"/>
  <c r="G194"/>
  <c r="J194"/>
  <c r="K194"/>
  <c r="A195"/>
  <c r="G195"/>
  <c r="J195"/>
  <c r="K195"/>
  <c r="A196"/>
  <c r="G196"/>
  <c r="J196"/>
  <c r="K196"/>
  <c r="A197"/>
  <c r="G197"/>
  <c r="J197"/>
  <c r="K197"/>
  <c r="A198"/>
  <c r="G198"/>
  <c r="J198"/>
  <c r="K198"/>
  <c r="A199"/>
  <c r="G199"/>
  <c r="J199"/>
  <c r="K199"/>
  <c r="A200"/>
  <c r="G200"/>
  <c r="J200"/>
  <c r="K200"/>
  <c r="A201"/>
  <c r="G201"/>
  <c r="J201"/>
  <c r="K201"/>
  <c r="A202"/>
  <c r="G202"/>
  <c r="J202"/>
  <c r="K202"/>
  <c r="A203"/>
  <c r="G203"/>
  <c r="J203"/>
  <c r="K203"/>
  <c r="A204"/>
  <c r="G204"/>
  <c r="J204"/>
  <c r="K204"/>
  <c r="A205"/>
  <c r="G205"/>
  <c r="J205"/>
  <c r="K205"/>
  <c r="A206"/>
  <c r="G206"/>
  <c r="J206"/>
  <c r="K206"/>
  <c r="A207"/>
  <c r="G207"/>
  <c r="J207"/>
  <c r="K207"/>
  <c r="A208"/>
  <c r="G208"/>
  <c r="J208"/>
  <c r="K208"/>
  <c r="A209"/>
  <c r="G209"/>
  <c r="J209"/>
  <c r="K209"/>
  <c r="A210"/>
  <c r="G210"/>
  <c r="J210"/>
  <c r="K210"/>
  <c r="A211"/>
  <c r="G211"/>
  <c r="J211"/>
  <c r="K211"/>
  <c r="A212"/>
  <c r="G212"/>
  <c r="J212"/>
  <c r="K212"/>
  <c r="A213"/>
  <c r="G213"/>
  <c r="J213"/>
  <c r="K213"/>
  <c r="A214"/>
  <c r="G214"/>
  <c r="J214"/>
  <c r="K214"/>
  <c r="A215"/>
  <c r="G215"/>
  <c r="J215"/>
  <c r="K215"/>
  <c r="A216"/>
  <c r="G216"/>
  <c r="J216"/>
  <c r="K216"/>
  <c r="A217"/>
  <c r="G217"/>
  <c r="J217"/>
  <c r="K217"/>
  <c r="A218"/>
  <c r="G218"/>
  <c r="J218"/>
  <c r="K218"/>
  <c r="A219"/>
  <c r="G219"/>
  <c r="J219"/>
  <c r="K219"/>
  <c r="A220"/>
  <c r="G220"/>
  <c r="J220"/>
  <c r="K220"/>
  <c r="A221"/>
  <c r="G221"/>
  <c r="J221"/>
  <c r="K221"/>
  <c r="A222"/>
  <c r="G222"/>
  <c r="J222"/>
  <c r="K222"/>
  <c r="A223"/>
  <c r="G223"/>
  <c r="J223"/>
  <c r="K223"/>
  <c r="A224"/>
  <c r="G224"/>
  <c r="J224"/>
  <c r="K224"/>
  <c r="A225"/>
  <c r="G225"/>
  <c r="J225"/>
  <c r="K225"/>
  <c r="A226"/>
  <c r="G226"/>
  <c r="J226"/>
  <c r="K226"/>
  <c r="A227"/>
  <c r="G227"/>
  <c r="J227"/>
  <c r="K227"/>
  <c r="A228"/>
  <c r="G228"/>
  <c r="J228"/>
  <c r="K228"/>
  <c r="A229"/>
  <c r="G229"/>
  <c r="J229"/>
  <c r="K229"/>
  <c r="A230"/>
  <c r="G230"/>
  <c r="J230"/>
  <c r="K230"/>
  <c r="A231"/>
  <c r="G231"/>
  <c r="J231"/>
  <c r="K231"/>
  <c r="A232"/>
  <c r="G232"/>
  <c r="J232"/>
  <c r="K232"/>
  <c r="A233"/>
  <c r="G233"/>
  <c r="J233"/>
  <c r="K233"/>
  <c r="A234"/>
  <c r="G234"/>
  <c r="J234"/>
  <c r="K234"/>
  <c r="A235"/>
  <c r="G235"/>
  <c r="J235"/>
  <c r="K235"/>
  <c r="A236"/>
  <c r="G236"/>
  <c r="J236"/>
  <c r="K236"/>
  <c r="A237"/>
  <c r="G237"/>
  <c r="J237"/>
  <c r="K237"/>
  <c r="A238"/>
  <c r="G238"/>
  <c r="J238"/>
  <c r="K238"/>
  <c r="A239"/>
  <c r="G239"/>
  <c r="J239"/>
  <c r="K239"/>
  <c r="A240"/>
  <c r="G240"/>
  <c r="J240"/>
  <c r="K240"/>
  <c r="A241"/>
  <c r="G241"/>
  <c r="J241"/>
  <c r="K241"/>
  <c r="A242"/>
  <c r="G242"/>
  <c r="J242"/>
  <c r="K242"/>
  <c r="A243"/>
  <c r="G243"/>
  <c r="J243"/>
  <c r="K243"/>
  <c r="A244"/>
  <c r="G244"/>
  <c r="J244"/>
  <c r="K244"/>
  <c r="A245"/>
  <c r="G245"/>
  <c r="J245"/>
  <c r="K245"/>
  <c r="A246"/>
  <c r="G246"/>
  <c r="J246"/>
  <c r="K246"/>
  <c r="A247"/>
  <c r="G247"/>
  <c r="J247"/>
  <c r="K247"/>
  <c r="A248"/>
  <c r="G248"/>
  <c r="J248"/>
  <c r="K248"/>
  <c r="A249"/>
  <c r="G249"/>
  <c r="J249"/>
  <c r="K249"/>
  <c r="A250"/>
  <c r="G250"/>
  <c r="J250"/>
  <c r="K250"/>
  <c r="A251"/>
  <c r="G251"/>
  <c r="J251"/>
  <c r="K251"/>
  <c r="A252"/>
  <c r="G252"/>
  <c r="J252"/>
  <c r="K252"/>
  <c r="A253"/>
  <c r="G253"/>
  <c r="J253"/>
  <c r="K253"/>
  <c r="A254"/>
  <c r="G254"/>
  <c r="J254"/>
  <c r="K254"/>
  <c r="A255"/>
  <c r="G255"/>
  <c r="J255"/>
  <c r="K255"/>
  <c r="A256"/>
  <c r="G256"/>
  <c r="J256"/>
  <c r="K256"/>
  <c r="A257"/>
  <c r="G257"/>
  <c r="J257"/>
  <c r="K257"/>
  <c r="A258"/>
  <c r="G258"/>
  <c r="J258"/>
  <c r="K258"/>
  <c r="A259"/>
  <c r="G259"/>
  <c r="J259"/>
  <c r="K259"/>
  <c r="A260"/>
  <c r="G260"/>
  <c r="J260"/>
  <c r="K260"/>
  <c r="A261"/>
  <c r="G261"/>
  <c r="J261"/>
  <c r="K261"/>
  <c r="A262"/>
  <c r="G262"/>
  <c r="J262"/>
  <c r="K262"/>
  <c r="A263"/>
  <c r="G263"/>
  <c r="J263"/>
  <c r="K263"/>
  <c r="A264"/>
  <c r="G264"/>
  <c r="J264"/>
  <c r="K264"/>
  <c r="A265"/>
  <c r="G265"/>
  <c r="J265"/>
  <c r="K265"/>
  <c r="A266"/>
  <c r="G266"/>
  <c r="J266"/>
  <c r="K266"/>
  <c r="A267"/>
  <c r="G267"/>
  <c r="J267"/>
  <c r="K267"/>
  <c r="A268"/>
  <c r="G268"/>
  <c r="J268"/>
  <c r="K268"/>
  <c r="A269"/>
  <c r="G269"/>
  <c r="J269"/>
  <c r="K269"/>
  <c r="A270"/>
  <c r="G270"/>
  <c r="J270"/>
  <c r="K270"/>
  <c r="A271"/>
  <c r="G271"/>
  <c r="J271"/>
  <c r="K271"/>
  <c r="A272"/>
  <c r="G272"/>
  <c r="J272"/>
  <c r="K272"/>
  <c r="A273"/>
  <c r="G273"/>
  <c r="J273"/>
  <c r="K273"/>
  <c r="A274"/>
  <c r="G274"/>
  <c r="J274"/>
  <c r="K274"/>
  <c r="A275"/>
  <c r="G275"/>
  <c r="J275"/>
  <c r="K275"/>
  <c r="A276"/>
  <c r="G276"/>
  <c r="J276"/>
  <c r="K276"/>
  <c r="A277"/>
  <c r="G277"/>
  <c r="J277"/>
  <c r="K277"/>
  <c r="A278"/>
  <c r="G278"/>
  <c r="J278"/>
  <c r="K278"/>
  <c r="A279"/>
  <c r="G279"/>
  <c r="J279"/>
  <c r="K279"/>
  <c r="A280"/>
  <c r="G280"/>
  <c r="J280"/>
  <c r="K280"/>
  <c r="A281"/>
  <c r="G281"/>
  <c r="J281"/>
  <c r="K281"/>
  <c r="A282"/>
  <c r="G282"/>
  <c r="J282"/>
  <c r="K282"/>
  <c r="A283"/>
  <c r="G283"/>
  <c r="J283"/>
  <c r="K283"/>
  <c r="A284"/>
  <c r="G284"/>
  <c r="J284"/>
  <c r="K284"/>
  <c r="A285"/>
  <c r="G285"/>
  <c r="J285"/>
  <c r="K285"/>
  <c r="A286"/>
  <c r="G286"/>
  <c r="J286"/>
  <c r="K286"/>
  <c r="A287"/>
  <c r="G287"/>
  <c r="J287"/>
  <c r="K287"/>
  <c r="A288"/>
  <c r="G288"/>
  <c r="J288"/>
  <c r="K288"/>
  <c r="A289"/>
  <c r="G289"/>
  <c r="J289"/>
  <c r="K289"/>
  <c r="A290"/>
  <c r="G290"/>
  <c r="J290"/>
  <c r="K290"/>
  <c r="A291"/>
  <c r="G291"/>
  <c r="J291"/>
  <c r="K291"/>
  <c r="A292"/>
  <c r="G292"/>
  <c r="J292"/>
  <c r="K292"/>
  <c r="A293"/>
  <c r="G293"/>
  <c r="J293"/>
  <c r="K293"/>
  <c r="A294"/>
  <c r="G294"/>
  <c r="J294"/>
  <c r="K294"/>
  <c r="A295"/>
  <c r="G295"/>
  <c r="J295"/>
  <c r="K295"/>
  <c r="A296"/>
  <c r="G296"/>
  <c r="J296"/>
  <c r="K296"/>
  <c r="A297"/>
  <c r="G297"/>
  <c r="J297"/>
  <c r="K297"/>
  <c r="A298"/>
  <c r="G298"/>
  <c r="J298"/>
  <c r="K298"/>
  <c r="A299"/>
  <c r="G299"/>
  <c r="J299"/>
  <c r="K299"/>
  <c r="A300"/>
  <c r="G300"/>
  <c r="J300"/>
  <c r="K300"/>
  <c r="A301"/>
  <c r="G301"/>
  <c r="J301"/>
  <c r="K301"/>
  <c r="A302"/>
  <c r="G302"/>
  <c r="J302"/>
  <c r="K302"/>
  <c r="A303"/>
  <c r="G303"/>
  <c r="J303"/>
  <c r="K303"/>
  <c r="A304"/>
  <c r="G304"/>
  <c r="J304"/>
  <c r="K304"/>
  <c r="A305"/>
  <c r="G305"/>
  <c r="J305"/>
  <c r="K305"/>
  <c r="A306"/>
  <c r="G306"/>
  <c r="J306"/>
  <c r="K306"/>
  <c r="A307"/>
  <c r="G307"/>
  <c r="J307"/>
  <c r="K307"/>
  <c r="A308"/>
  <c r="G308"/>
  <c r="J308"/>
  <c r="K308"/>
  <c r="A309"/>
  <c r="G309"/>
  <c r="J309"/>
  <c r="K309"/>
  <c r="A310"/>
  <c r="G310"/>
  <c r="J310"/>
  <c r="K310"/>
  <c r="A311"/>
  <c r="G311"/>
  <c r="J311"/>
  <c r="K311"/>
  <c r="A312"/>
  <c r="G312"/>
  <c r="J312"/>
  <c r="K312"/>
  <c r="A313"/>
  <c r="G313"/>
  <c r="J313"/>
  <c r="K313"/>
  <c r="A314"/>
  <c r="G314"/>
  <c r="J314"/>
  <c r="K314"/>
  <c r="A315"/>
  <c r="G315"/>
  <c r="J315"/>
  <c r="K315"/>
  <c r="A316"/>
  <c r="G316"/>
  <c r="J316"/>
  <c r="K316"/>
  <c r="A317"/>
  <c r="G317"/>
  <c r="J317"/>
  <c r="K317"/>
  <c r="A318"/>
  <c r="G318"/>
  <c r="J318"/>
  <c r="K318"/>
  <c r="A319"/>
  <c r="G319"/>
  <c r="J319"/>
  <c r="K319"/>
  <c r="A320"/>
  <c r="G320"/>
  <c r="J320"/>
  <c r="K320"/>
  <c r="A321"/>
  <c r="G321"/>
  <c r="J321"/>
  <c r="K321"/>
  <c r="A322"/>
  <c r="G322"/>
  <c r="J322"/>
  <c r="K322"/>
  <c r="A323"/>
  <c r="G323"/>
  <c r="J323"/>
  <c r="K323"/>
  <c r="A324"/>
  <c r="G324"/>
  <c r="J324"/>
  <c r="K324"/>
  <c r="A325"/>
  <c r="G325"/>
  <c r="J325"/>
  <c r="K325"/>
  <c r="A326"/>
  <c r="G326"/>
  <c r="J326"/>
  <c r="K326"/>
  <c r="A327"/>
  <c r="G327"/>
  <c r="J327"/>
  <c r="K327"/>
  <c r="A328"/>
  <c r="G328"/>
  <c r="J328"/>
  <c r="K328"/>
  <c r="A329"/>
  <c r="G329"/>
  <c r="J329"/>
  <c r="K329"/>
  <c r="A330"/>
  <c r="G330"/>
  <c r="J330"/>
  <c r="K330"/>
  <c r="A331"/>
  <c r="G331"/>
  <c r="J331"/>
  <c r="K331"/>
  <c r="A332"/>
  <c r="G332"/>
  <c r="J332"/>
  <c r="K332"/>
  <c r="A333"/>
  <c r="G333"/>
  <c r="J333"/>
  <c r="K333"/>
  <c r="A334"/>
  <c r="G334"/>
  <c r="J334"/>
  <c r="K334"/>
  <c r="A335"/>
  <c r="G335"/>
  <c r="J335"/>
  <c r="K335"/>
  <c r="A336"/>
  <c r="G336"/>
  <c r="J336"/>
  <c r="K336"/>
  <c r="A337"/>
  <c r="G337"/>
  <c r="J337"/>
  <c r="K337"/>
  <c r="A338"/>
  <c r="G338"/>
  <c r="J338"/>
  <c r="K338"/>
  <c r="A339"/>
  <c r="G339"/>
  <c r="J339"/>
  <c r="K339"/>
  <c r="A340"/>
  <c r="G340"/>
  <c r="J340"/>
  <c r="K340"/>
  <c r="A341"/>
  <c r="G341"/>
  <c r="J341"/>
  <c r="K341"/>
  <c r="A342"/>
  <c r="G342"/>
  <c r="J342"/>
  <c r="K342"/>
  <c r="A343"/>
  <c r="G343"/>
  <c r="J343"/>
  <c r="K343"/>
  <c r="A344"/>
  <c r="G344"/>
  <c r="J344"/>
  <c r="K344"/>
  <c r="A345"/>
  <c r="G345"/>
  <c r="J345"/>
  <c r="K345"/>
  <c r="A346"/>
  <c r="G346"/>
  <c r="J346"/>
  <c r="K346"/>
  <c r="A347"/>
  <c r="G347"/>
  <c r="J347"/>
  <c r="K347"/>
  <c r="A348"/>
  <c r="G348"/>
  <c r="J348"/>
  <c r="K348"/>
  <c r="A349"/>
  <c r="G349"/>
  <c r="J349"/>
  <c r="K349"/>
  <c r="A350"/>
  <c r="G350"/>
  <c r="J350"/>
  <c r="K350"/>
  <c r="A351"/>
  <c r="G351"/>
  <c r="J351"/>
  <c r="K351"/>
  <c r="A352"/>
  <c r="G352"/>
  <c r="J352"/>
  <c r="K352"/>
  <c r="A353"/>
  <c r="G353"/>
  <c r="J353"/>
  <c r="K353"/>
  <c r="A354"/>
  <c r="G354"/>
  <c r="J354"/>
  <c r="K354"/>
  <c r="A355"/>
  <c r="G355"/>
  <c r="J355"/>
  <c r="K355"/>
  <c r="A356"/>
  <c r="G356"/>
  <c r="J356"/>
  <c r="K356"/>
  <c r="A357"/>
  <c r="G357"/>
  <c r="J357"/>
  <c r="K357"/>
  <c r="A358"/>
  <c r="G358"/>
  <c r="J358"/>
  <c r="K358"/>
  <c r="A359"/>
  <c r="G359"/>
  <c r="J359"/>
  <c r="K359"/>
  <c r="A360"/>
  <c r="G360"/>
  <c r="J360"/>
  <c r="K360"/>
  <c r="A361"/>
  <c r="G361"/>
  <c r="J361"/>
  <c r="K361"/>
  <c r="A362"/>
  <c r="G362"/>
  <c r="J362"/>
  <c r="K362"/>
  <c r="A363"/>
  <c r="G363"/>
  <c r="J363"/>
  <c r="K363"/>
  <c r="A364"/>
  <c r="G364"/>
  <c r="J364"/>
  <c r="K364"/>
  <c r="A365"/>
  <c r="G365"/>
  <c r="J365"/>
  <c r="K365"/>
  <c r="A366"/>
  <c r="G366"/>
  <c r="J366"/>
  <c r="K366"/>
  <c r="A367"/>
  <c r="G367"/>
  <c r="J367"/>
  <c r="K367"/>
  <c r="A368"/>
  <c r="G368"/>
  <c r="J368"/>
  <c r="K368"/>
  <c r="A369"/>
  <c r="G369"/>
  <c r="J369"/>
  <c r="K369"/>
  <c r="A370"/>
  <c r="G370"/>
  <c r="J370"/>
  <c r="K370"/>
  <c r="A371"/>
  <c r="G371"/>
  <c r="J371"/>
  <c r="K371"/>
  <c r="A372"/>
  <c r="G372"/>
  <c r="J372"/>
  <c r="K372"/>
  <c r="A373"/>
  <c r="G373"/>
  <c r="J373"/>
  <c r="K373"/>
  <c r="A374"/>
  <c r="G374"/>
  <c r="J374"/>
  <c r="K374"/>
  <c r="A375"/>
  <c r="G375"/>
  <c r="J375"/>
  <c r="K375"/>
  <c r="A376"/>
  <c r="G376"/>
  <c r="J376"/>
  <c r="K376"/>
  <c r="A377"/>
  <c r="G377"/>
  <c r="J377"/>
  <c r="K377"/>
  <c r="A378"/>
  <c r="G378"/>
  <c r="J378"/>
  <c r="K378"/>
  <c r="A379"/>
  <c r="G379"/>
  <c r="J379"/>
  <c r="K379"/>
  <c r="A380"/>
  <c r="G380"/>
  <c r="J380"/>
  <c r="K380"/>
  <c r="A381"/>
  <c r="G381"/>
  <c r="J381"/>
  <c r="K381"/>
  <c r="A382"/>
  <c r="G382"/>
  <c r="J382"/>
  <c r="K382"/>
  <c r="A383"/>
  <c r="G383"/>
  <c r="J383"/>
  <c r="K383"/>
  <c r="A384"/>
  <c r="G384"/>
  <c r="J384"/>
  <c r="K384"/>
  <c r="A385"/>
  <c r="G385"/>
  <c r="J385"/>
  <c r="K385"/>
  <c r="A386"/>
  <c r="G386"/>
  <c r="J386"/>
  <c r="K386"/>
  <c r="A387"/>
  <c r="G387"/>
  <c r="J387"/>
  <c r="K387"/>
  <c r="A388"/>
  <c r="G388"/>
  <c r="J388"/>
  <c r="K388"/>
  <c r="A389"/>
  <c r="G389"/>
  <c r="J389"/>
  <c r="K389"/>
  <c r="A390"/>
  <c r="G390"/>
  <c r="J390"/>
  <c r="K390"/>
  <c r="A391"/>
  <c r="G391"/>
  <c r="J391"/>
  <c r="K391"/>
  <c r="A392"/>
  <c r="G392"/>
  <c r="J392"/>
  <c r="K392"/>
  <c r="A393"/>
  <c r="G393"/>
  <c r="J393"/>
  <c r="K393"/>
  <c r="A394"/>
  <c r="G394"/>
  <c r="J394"/>
  <c r="K394"/>
  <c r="A395"/>
  <c r="G395"/>
  <c r="J395"/>
  <c r="K395"/>
  <c r="A396"/>
  <c r="G396"/>
  <c r="J396"/>
  <c r="K396"/>
  <c r="A397"/>
  <c r="G397"/>
  <c r="J397"/>
  <c r="K397"/>
  <c r="A398"/>
  <c r="G398"/>
  <c r="J398"/>
  <c r="K398"/>
  <c r="A399"/>
  <c r="G399"/>
  <c r="J399"/>
  <c r="K399"/>
  <c r="G400"/>
  <c r="J400"/>
  <c r="K400"/>
  <c r="A401"/>
  <c r="G401"/>
  <c r="J401"/>
  <c r="K401"/>
  <c r="A402"/>
  <c r="G402"/>
  <c r="J402"/>
  <c r="K402"/>
  <c r="A403"/>
  <c r="G403"/>
  <c r="J403"/>
  <c r="K403"/>
  <c r="A404"/>
  <c r="G404"/>
  <c r="J404"/>
  <c r="K404"/>
  <c r="A405"/>
  <c r="G405"/>
  <c r="J405"/>
  <c r="K405"/>
  <c r="A406"/>
  <c r="G406"/>
  <c r="J406"/>
  <c r="K406"/>
  <c r="A407"/>
  <c r="G407"/>
  <c r="J407"/>
  <c r="K407"/>
  <c r="A408"/>
  <c r="G408"/>
  <c r="J408"/>
  <c r="K408"/>
  <c r="A409"/>
  <c r="G409"/>
  <c r="J409"/>
  <c r="K409"/>
  <c r="A410"/>
  <c r="G410"/>
  <c r="J410"/>
  <c r="K410"/>
  <c r="A411"/>
  <c r="G411"/>
  <c r="J411"/>
  <c r="K411"/>
  <c r="A412"/>
  <c r="G412"/>
  <c r="J412"/>
  <c r="K412"/>
  <c r="A413"/>
  <c r="G413"/>
  <c r="J413"/>
  <c r="K413"/>
  <c r="A414"/>
  <c r="G414"/>
  <c r="J414"/>
  <c r="K414"/>
  <c r="A415"/>
  <c r="G415"/>
  <c r="J415"/>
  <c r="K415"/>
  <c r="A416"/>
  <c r="G416"/>
  <c r="J416"/>
  <c r="K416"/>
  <c r="A417"/>
  <c r="G417"/>
  <c r="J417"/>
  <c r="K417"/>
  <c r="A418"/>
  <c r="G418"/>
  <c r="J418"/>
  <c r="K418"/>
  <c r="A419"/>
  <c r="G419"/>
  <c r="J419"/>
  <c r="K419"/>
  <c r="A420"/>
  <c r="G420"/>
  <c r="J420"/>
  <c r="K420"/>
  <c r="A421"/>
  <c r="G421"/>
  <c r="J421"/>
  <c r="K421"/>
  <c r="A422"/>
  <c r="G422"/>
  <c r="J422"/>
  <c r="K422"/>
  <c r="A423"/>
  <c r="G423"/>
  <c r="J423"/>
  <c r="K423"/>
  <c r="A424"/>
  <c r="G424"/>
  <c r="J424"/>
  <c r="K424"/>
  <c r="A425"/>
  <c r="G425"/>
  <c r="J425"/>
  <c r="K425"/>
  <c r="A426"/>
  <c r="G426"/>
  <c r="J426"/>
  <c r="K426"/>
  <c r="A427"/>
  <c r="G427"/>
  <c r="J427"/>
  <c r="K427"/>
  <c r="A428"/>
  <c r="G428"/>
  <c r="J428"/>
  <c r="K428"/>
  <c r="A429"/>
  <c r="G429"/>
  <c r="J429"/>
  <c r="K429"/>
  <c r="A430"/>
  <c r="G430"/>
  <c r="J430"/>
  <c r="K430"/>
  <c r="A431"/>
  <c r="G431"/>
  <c r="J431"/>
  <c r="K431"/>
  <c r="A432"/>
  <c r="G432"/>
  <c r="J432"/>
  <c r="K432"/>
  <c r="A433"/>
  <c r="G433"/>
  <c r="J433"/>
  <c r="K433"/>
  <c r="A434"/>
  <c r="G434"/>
  <c r="J434"/>
  <c r="K434"/>
  <c r="A435"/>
  <c r="G435"/>
  <c r="J435"/>
  <c r="K435"/>
  <c r="A436"/>
  <c r="G436"/>
  <c r="J436"/>
  <c r="K436"/>
  <c r="A437"/>
  <c r="G437"/>
  <c r="J437"/>
  <c r="K437"/>
  <c r="A438"/>
  <c r="G438"/>
  <c r="J438"/>
  <c r="K438"/>
  <c r="A439"/>
  <c r="G439"/>
  <c r="J439"/>
  <c r="K439"/>
  <c r="A440"/>
  <c r="G440"/>
  <c r="J440"/>
  <c r="K440"/>
  <c r="A441"/>
  <c r="G441"/>
  <c r="J441"/>
  <c r="K441"/>
  <c r="A442"/>
  <c r="G442"/>
  <c r="J442"/>
  <c r="K442"/>
  <c r="A443"/>
  <c r="G443"/>
  <c r="J443"/>
  <c r="K443"/>
  <c r="A444"/>
  <c r="G444"/>
  <c r="J444"/>
  <c r="K444"/>
  <c r="A445"/>
  <c r="G445"/>
  <c r="J445"/>
  <c r="K445"/>
  <c r="A446"/>
  <c r="G446"/>
  <c r="J446"/>
  <c r="K446"/>
  <c r="A447"/>
  <c r="G447"/>
  <c r="J447"/>
  <c r="K447"/>
  <c r="A448"/>
  <c r="G448"/>
  <c r="J448"/>
  <c r="K448"/>
  <c r="A449"/>
  <c r="G449"/>
  <c r="J449"/>
  <c r="K449"/>
  <c r="A450"/>
  <c r="G450"/>
  <c r="J450"/>
  <c r="K450"/>
  <c r="A451"/>
  <c r="G451"/>
  <c r="J451"/>
  <c r="K451"/>
  <c r="A452"/>
  <c r="G452"/>
  <c r="J452"/>
  <c r="K452"/>
  <c r="A453"/>
  <c r="G453"/>
  <c r="J453"/>
  <c r="K453"/>
  <c r="A454"/>
  <c r="G454"/>
  <c r="J454"/>
  <c r="K454"/>
  <c r="A455"/>
  <c r="G455"/>
  <c r="J455"/>
  <c r="K455"/>
  <c r="A456"/>
  <c r="G456"/>
  <c r="J456"/>
  <c r="K456"/>
  <c r="A457"/>
  <c r="G457"/>
  <c r="J457"/>
  <c r="K457"/>
  <c r="A458"/>
  <c r="G458"/>
  <c r="J458"/>
  <c r="K458"/>
  <c r="A459"/>
  <c r="G459"/>
  <c r="J459"/>
  <c r="K459"/>
  <c r="A460"/>
  <c r="G460"/>
  <c r="J460"/>
  <c r="K460"/>
  <c r="A461"/>
  <c r="G461"/>
  <c r="J461"/>
  <c r="K461"/>
  <c r="A462"/>
  <c r="G462"/>
  <c r="J462"/>
  <c r="K462"/>
  <c r="A463"/>
  <c r="G463"/>
  <c r="J463"/>
  <c r="K463"/>
  <c r="A464"/>
  <c r="G464"/>
  <c r="J464"/>
  <c r="K464"/>
  <c r="A465"/>
  <c r="G465"/>
  <c r="J465"/>
  <c r="K465"/>
  <c r="A466"/>
  <c r="G466"/>
  <c r="J466"/>
  <c r="K466"/>
  <c r="A467"/>
  <c r="G467"/>
  <c r="J467"/>
  <c r="K467"/>
  <c r="A468"/>
  <c r="G468"/>
  <c r="J468"/>
  <c r="K468"/>
  <c r="A469"/>
  <c r="G469"/>
  <c r="J469"/>
  <c r="K469"/>
  <c r="A470"/>
  <c r="G470"/>
  <c r="J470"/>
  <c r="K470"/>
  <c r="A471"/>
  <c r="G471"/>
  <c r="J471"/>
  <c r="K471"/>
  <c r="A472"/>
  <c r="G472"/>
  <c r="J472"/>
  <c r="K472"/>
  <c r="A473"/>
  <c r="G473"/>
  <c r="J473"/>
  <c r="K473"/>
  <c r="A474"/>
  <c r="G474"/>
  <c r="J474"/>
  <c r="K474"/>
  <c r="A475"/>
  <c r="G475"/>
  <c r="J475"/>
  <c r="K475"/>
  <c r="A476"/>
  <c r="G476"/>
  <c r="J476"/>
  <c r="K476"/>
  <c r="A477"/>
  <c r="G477"/>
  <c r="J477"/>
  <c r="K477"/>
  <c r="A478"/>
  <c r="G478"/>
  <c r="J478"/>
  <c r="K478"/>
  <c r="A479"/>
  <c r="G479"/>
  <c r="J479"/>
  <c r="K479"/>
  <c r="A480"/>
  <c r="G480"/>
  <c r="J480"/>
  <c r="K480"/>
  <c r="A481"/>
  <c r="G481"/>
  <c r="J481"/>
  <c r="K481"/>
  <c r="A482"/>
  <c r="G482"/>
  <c r="J482"/>
  <c r="K482"/>
  <c r="A483"/>
  <c r="G483"/>
  <c r="J483"/>
  <c r="K483"/>
  <c r="A484"/>
  <c r="G484"/>
  <c r="J484"/>
  <c r="K484"/>
  <c r="A485"/>
  <c r="G485"/>
  <c r="J485"/>
  <c r="K485"/>
  <c r="A486"/>
  <c r="G486"/>
  <c r="J486"/>
  <c r="K486"/>
  <c r="A487"/>
  <c r="G487"/>
  <c r="J487"/>
  <c r="K487"/>
  <c r="A488"/>
  <c r="G488"/>
  <c r="J488"/>
  <c r="K488"/>
  <c r="A489"/>
  <c r="G489"/>
  <c r="J489"/>
  <c r="K489"/>
  <c r="A490"/>
  <c r="G490"/>
  <c r="J490"/>
  <c r="K490"/>
  <c r="A491"/>
  <c r="G491"/>
  <c r="J491"/>
  <c r="K491"/>
  <c r="A492"/>
  <c r="G492"/>
  <c r="J492"/>
  <c r="K492"/>
  <c r="A493"/>
  <c r="G493"/>
  <c r="J493"/>
  <c r="K493"/>
  <c r="A494"/>
  <c r="G494"/>
  <c r="J494"/>
  <c r="K494"/>
  <c r="A495"/>
  <c r="G495"/>
  <c r="J495"/>
  <c r="K495"/>
  <c r="A496"/>
  <c r="G496"/>
  <c r="J496"/>
  <c r="K496"/>
  <c r="A497"/>
  <c r="G497"/>
  <c r="J497"/>
  <c r="K497"/>
  <c r="A498"/>
  <c r="G498"/>
  <c r="J498"/>
  <c r="K498"/>
  <c r="A499"/>
  <c r="G499"/>
  <c r="J499"/>
  <c r="K499"/>
  <c r="A500"/>
  <c r="G500"/>
  <c r="J500"/>
  <c r="K500"/>
  <c r="A501"/>
  <c r="G501"/>
  <c r="J501"/>
  <c r="K501"/>
  <c r="A502"/>
  <c r="G502"/>
  <c r="J502"/>
  <c r="K502"/>
  <c r="A503"/>
  <c r="G503"/>
  <c r="J503"/>
  <c r="K503"/>
  <c r="A504"/>
  <c r="G504"/>
  <c r="J504"/>
  <c r="K504"/>
  <c r="A505"/>
  <c r="G505"/>
  <c r="J505"/>
  <c r="K505"/>
  <c r="A506"/>
  <c r="G506"/>
  <c r="J506"/>
  <c r="K506"/>
  <c r="A507"/>
  <c r="G507"/>
  <c r="J507"/>
  <c r="K507"/>
  <c r="A508"/>
  <c r="G508"/>
  <c r="J508"/>
  <c r="K508"/>
  <c r="A509"/>
  <c r="G509"/>
  <c r="J509"/>
  <c r="K509"/>
  <c r="A510"/>
  <c r="G510"/>
  <c r="J510"/>
  <c r="K510"/>
  <c r="A511"/>
  <c r="G511"/>
  <c r="J511"/>
  <c r="K511"/>
  <c r="A512"/>
  <c r="G512"/>
  <c r="J512"/>
  <c r="K512"/>
  <c r="A513"/>
  <c r="G513"/>
  <c r="J513"/>
  <c r="K513"/>
  <c r="A514"/>
  <c r="G514"/>
  <c r="J514"/>
  <c r="K514"/>
  <c r="A515"/>
  <c r="G515"/>
  <c r="J515"/>
  <c r="K515"/>
  <c r="A516"/>
  <c r="G516"/>
  <c r="J516"/>
  <c r="K516"/>
  <c r="A517"/>
  <c r="G517"/>
  <c r="J517"/>
  <c r="K517"/>
  <c r="A518"/>
  <c r="G518"/>
  <c r="J518"/>
  <c r="K518"/>
  <c r="A519"/>
  <c r="G519"/>
  <c r="J519"/>
  <c r="K519"/>
  <c r="A520"/>
  <c r="G520"/>
  <c r="J520"/>
  <c r="K520"/>
  <c r="A521"/>
  <c r="G521"/>
  <c r="J521"/>
  <c r="K521"/>
  <c r="A522"/>
  <c r="G522"/>
  <c r="J522"/>
  <c r="K522"/>
  <c r="A523"/>
  <c r="G523"/>
  <c r="J523"/>
  <c r="K523"/>
  <c r="A524"/>
  <c r="G524"/>
  <c r="J524"/>
  <c r="K524"/>
  <c r="A525"/>
  <c r="G525"/>
  <c r="J525"/>
  <c r="K525"/>
  <c r="A526"/>
  <c r="G526"/>
  <c r="J526"/>
  <c r="K526"/>
  <c r="A527"/>
  <c r="G527"/>
  <c r="J527"/>
  <c r="K527"/>
  <c r="A528"/>
  <c r="G528"/>
  <c r="J528"/>
  <c r="K528"/>
  <c r="A529"/>
  <c r="G529"/>
  <c r="J529"/>
  <c r="K529"/>
  <c r="A530"/>
  <c r="G530"/>
  <c r="J530"/>
  <c r="K530"/>
  <c r="A531"/>
  <c r="G531"/>
  <c r="J531"/>
  <c r="K531"/>
  <c r="A532"/>
  <c r="G532"/>
  <c r="J532"/>
  <c r="K532"/>
  <c r="A533"/>
  <c r="G533"/>
  <c r="J533"/>
  <c r="K533"/>
  <c r="A534"/>
  <c r="G534"/>
  <c r="J534"/>
  <c r="K534"/>
  <c r="A535"/>
  <c r="G535"/>
  <c r="J535"/>
  <c r="K535"/>
  <c r="A536"/>
  <c r="G536"/>
  <c r="J536"/>
  <c r="K536"/>
  <c r="A537"/>
  <c r="G537"/>
  <c r="J537"/>
  <c r="K537"/>
  <c r="A538"/>
  <c r="G538"/>
  <c r="J538"/>
  <c r="K538"/>
  <c r="A539"/>
  <c r="G539"/>
  <c r="J539"/>
  <c r="K539"/>
  <c r="A540"/>
  <c r="G540"/>
  <c r="J540"/>
  <c r="K540"/>
  <c r="A541"/>
  <c r="G541"/>
  <c r="J541"/>
  <c r="K541"/>
  <c r="A542"/>
  <c r="G542"/>
  <c r="J542"/>
  <c r="K542"/>
  <c r="A543"/>
  <c r="G543"/>
  <c r="J543"/>
  <c r="K543"/>
  <c r="A544"/>
  <c r="G544"/>
  <c r="J544"/>
  <c r="K544"/>
  <c r="A545"/>
  <c r="G545"/>
  <c r="J545"/>
  <c r="K545"/>
  <c r="A546"/>
  <c r="G546"/>
  <c r="J546"/>
  <c r="K546"/>
  <c r="A547"/>
  <c r="G547"/>
  <c r="J547"/>
  <c r="K547"/>
  <c r="A548"/>
  <c r="G548"/>
  <c r="J548"/>
  <c r="K548"/>
  <c r="A549"/>
  <c r="G549"/>
  <c r="J549"/>
  <c r="K549"/>
  <c r="A550"/>
  <c r="G550"/>
  <c r="J550"/>
  <c r="K550"/>
  <c r="A551"/>
  <c r="G551"/>
  <c r="J551"/>
  <c r="K551"/>
  <c r="A552"/>
  <c r="G552"/>
  <c r="J552"/>
  <c r="K552"/>
  <c r="A553"/>
  <c r="G553"/>
  <c r="J553"/>
  <c r="K553"/>
  <c r="A554"/>
  <c r="G554"/>
  <c r="J554"/>
  <c r="K554"/>
  <c r="A555"/>
  <c r="G555"/>
  <c r="J555"/>
  <c r="K555"/>
  <c r="A556"/>
  <c r="G556"/>
  <c r="J556"/>
  <c r="K556"/>
  <c r="A557"/>
  <c r="G557"/>
  <c r="J557"/>
  <c r="K557"/>
  <c r="A558"/>
  <c r="G558"/>
  <c r="J558"/>
  <c r="K558"/>
  <c r="A559"/>
  <c r="G559"/>
  <c r="J559"/>
  <c r="K559"/>
  <c r="A560"/>
  <c r="G560"/>
  <c r="J560"/>
  <c r="K560"/>
  <c r="A561"/>
  <c r="G561"/>
  <c r="J561"/>
  <c r="K561"/>
  <c r="A562"/>
  <c r="G562"/>
  <c r="J562"/>
  <c r="K562"/>
  <c r="A563"/>
  <c r="G563"/>
  <c r="J563"/>
  <c r="K563"/>
  <c r="A564"/>
  <c r="G564"/>
  <c r="J564"/>
  <c r="K564"/>
  <c r="A565"/>
  <c r="G565"/>
  <c r="J565"/>
  <c r="K565"/>
  <c r="A566"/>
  <c r="G566"/>
  <c r="J566"/>
  <c r="K566"/>
  <c r="A567"/>
  <c r="G567"/>
  <c r="J567"/>
  <c r="K567"/>
  <c r="A568"/>
  <c r="G568"/>
  <c r="J568"/>
  <c r="K568"/>
  <c r="A569"/>
  <c r="G569"/>
  <c r="J569"/>
  <c r="K569"/>
  <c r="A570"/>
  <c r="G570"/>
  <c r="J570"/>
  <c r="K570"/>
  <c r="A571"/>
  <c r="G571"/>
  <c r="J571"/>
  <c r="K571"/>
  <c r="A572"/>
  <c r="G572"/>
  <c r="J572"/>
  <c r="K572"/>
  <c r="A573"/>
  <c r="G573"/>
  <c r="J573"/>
  <c r="K573"/>
  <c r="A574"/>
  <c r="G574"/>
  <c r="J574"/>
  <c r="K574"/>
  <c r="A575"/>
  <c r="G575"/>
  <c r="J575"/>
  <c r="K575"/>
  <c r="A576"/>
  <c r="G576"/>
  <c r="J576"/>
  <c r="K576"/>
  <c r="A577"/>
  <c r="G577"/>
  <c r="J577"/>
  <c r="K577"/>
  <c r="A578"/>
  <c r="G578"/>
  <c r="J578"/>
  <c r="K578"/>
  <c r="A579"/>
  <c r="G579"/>
  <c r="J579"/>
  <c r="K579"/>
  <c r="A580"/>
  <c r="G580"/>
  <c r="J580"/>
  <c r="K580"/>
  <c r="A581"/>
  <c r="G581"/>
  <c r="J581"/>
  <c r="K581"/>
  <c r="A582"/>
  <c r="G582"/>
  <c r="J582"/>
  <c r="K582"/>
  <c r="A583"/>
  <c r="G583"/>
  <c r="J583"/>
  <c r="K583"/>
  <c r="A584"/>
  <c r="G584"/>
  <c r="J584"/>
  <c r="K584"/>
  <c r="A585"/>
  <c r="G585"/>
  <c r="J585"/>
  <c r="K585"/>
  <c r="A586"/>
  <c r="G586"/>
  <c r="J586"/>
  <c r="K586"/>
  <c r="A587"/>
  <c r="G587"/>
  <c r="J587"/>
  <c r="K587"/>
  <c r="A588"/>
  <c r="G588"/>
  <c r="J588"/>
  <c r="K588"/>
  <c r="A589"/>
  <c r="G589"/>
  <c r="J589"/>
  <c r="K589"/>
  <c r="A590"/>
  <c r="G590"/>
  <c r="J590"/>
  <c r="K590"/>
  <c r="A591"/>
  <c r="G591"/>
  <c r="J591"/>
  <c r="K591"/>
  <c r="A592"/>
  <c r="G592"/>
  <c r="J592"/>
  <c r="K592"/>
  <c r="A593"/>
  <c r="G593"/>
  <c r="J593"/>
  <c r="K593"/>
  <c r="A594"/>
  <c r="G594"/>
  <c r="J594"/>
  <c r="K594"/>
  <c r="A595"/>
  <c r="G595"/>
  <c r="J595"/>
  <c r="K595"/>
  <c r="A596"/>
  <c r="G596"/>
  <c r="J596"/>
  <c r="K596"/>
  <c r="A597"/>
  <c r="G597"/>
  <c r="J597"/>
  <c r="K597"/>
  <c r="G598"/>
  <c r="J598"/>
  <c r="K598"/>
  <c r="A599"/>
  <c r="G599"/>
  <c r="J599"/>
  <c r="K599"/>
  <c r="A600"/>
  <c r="G600"/>
  <c r="J600"/>
  <c r="K600"/>
  <c r="A601"/>
  <c r="G601"/>
  <c r="J601"/>
  <c r="K601"/>
  <c r="A602"/>
  <c r="G602"/>
  <c r="J602"/>
  <c r="K602"/>
  <c r="A603"/>
  <c r="G603"/>
  <c r="J603"/>
  <c r="K603"/>
  <c r="A604"/>
  <c r="G604"/>
  <c r="J604"/>
  <c r="K604"/>
  <c r="A605"/>
  <c r="G605"/>
  <c r="J605"/>
  <c r="K605"/>
  <c r="A606"/>
  <c r="G606"/>
  <c r="H606"/>
  <c r="J606"/>
  <c r="K606"/>
  <c r="A607"/>
  <c r="G607"/>
  <c r="H607"/>
  <c r="J607"/>
  <c r="K607"/>
  <c r="A608"/>
  <c r="G608"/>
  <c r="H608"/>
  <c r="J608"/>
  <c r="K608"/>
  <c r="A609"/>
  <c r="G609"/>
  <c r="H609"/>
  <c r="J609"/>
  <c r="K609"/>
  <c r="A610"/>
  <c r="G610"/>
  <c r="H610"/>
  <c r="J610"/>
  <c r="K610"/>
  <c r="A611"/>
  <c r="G611"/>
  <c r="H611"/>
  <c r="J611"/>
  <c r="K611"/>
  <c r="A612"/>
  <c r="G612"/>
  <c r="H612"/>
  <c r="J612"/>
  <c r="K612"/>
  <c r="A613"/>
  <c r="G613"/>
  <c r="H613"/>
  <c r="J613"/>
  <c r="K613"/>
  <c r="A614"/>
  <c r="G614"/>
  <c r="H614"/>
  <c r="J614"/>
  <c r="K614"/>
  <c r="A615"/>
  <c r="G615"/>
  <c r="H615"/>
  <c r="J615"/>
  <c r="K615"/>
  <c r="A616"/>
  <c r="G616"/>
  <c r="H616"/>
  <c r="J616"/>
  <c r="K616"/>
  <c r="A617"/>
  <c r="G617"/>
  <c r="H617"/>
  <c r="J617"/>
  <c r="K617"/>
  <c r="A618"/>
  <c r="G618"/>
  <c r="H618"/>
  <c r="J618"/>
  <c r="K618"/>
  <c r="A619"/>
  <c r="G619"/>
  <c r="H619"/>
  <c r="J619"/>
  <c r="K619"/>
  <c r="A620"/>
  <c r="G620"/>
  <c r="H620"/>
  <c r="J620"/>
  <c r="K620"/>
  <c r="A621"/>
  <c r="G621"/>
  <c r="H621"/>
  <c r="J621"/>
  <c r="K621"/>
  <c r="A622"/>
  <c r="G622"/>
  <c r="H622"/>
  <c r="J622"/>
  <c r="K622"/>
  <c r="A623"/>
  <c r="G623"/>
  <c r="H623"/>
  <c r="J623"/>
  <c r="K623"/>
  <c r="A624"/>
  <c r="G624"/>
  <c r="H624"/>
  <c r="J624"/>
  <c r="K624"/>
  <c r="A625"/>
  <c r="G625"/>
  <c r="H625"/>
  <c r="J625"/>
  <c r="K625"/>
  <c r="A626"/>
  <c r="G626"/>
  <c r="H626"/>
  <c r="J626"/>
  <c r="K626"/>
  <c r="A627"/>
  <c r="G627"/>
  <c r="H627"/>
  <c r="J627"/>
  <c r="K627"/>
  <c r="A628"/>
  <c r="G628"/>
  <c r="H628"/>
  <c r="J628"/>
  <c r="K628"/>
  <c r="A629"/>
  <c r="G629"/>
  <c r="H629"/>
  <c r="J629"/>
  <c r="K629"/>
  <c r="A630"/>
  <c r="G630"/>
  <c r="H630"/>
  <c r="J630"/>
  <c r="K630"/>
  <c r="A631"/>
  <c r="G631"/>
  <c r="H631"/>
  <c r="J631"/>
  <c r="K631"/>
  <c r="A632"/>
  <c r="G632"/>
  <c r="H632"/>
  <c r="J632"/>
  <c r="K632"/>
  <c r="A633"/>
  <c r="G633"/>
  <c r="H633"/>
  <c r="J633"/>
  <c r="K633"/>
  <c r="A634"/>
  <c r="G634"/>
  <c r="H634"/>
  <c r="J634"/>
  <c r="K634"/>
  <c r="A635"/>
  <c r="G635"/>
  <c r="H635"/>
  <c r="J635"/>
  <c r="K635"/>
  <c r="A636"/>
  <c r="G636"/>
  <c r="H636"/>
  <c r="J636"/>
  <c r="K636"/>
  <c r="A637"/>
  <c r="G637"/>
  <c r="H637"/>
  <c r="J637"/>
  <c r="K637"/>
  <c r="A638"/>
  <c r="G638"/>
  <c r="H638"/>
  <c r="J638"/>
  <c r="K638"/>
  <c r="A639"/>
  <c r="G639"/>
  <c r="H639"/>
  <c r="J639"/>
  <c r="K639"/>
  <c r="A640"/>
  <c r="G640"/>
  <c r="H640"/>
  <c r="J640"/>
  <c r="K640"/>
  <c r="A641"/>
  <c r="G641"/>
  <c r="H641"/>
  <c r="J641"/>
  <c r="K641"/>
  <c r="A642"/>
  <c r="G642"/>
  <c r="H642"/>
  <c r="J642"/>
  <c r="K642"/>
  <c r="A643"/>
  <c r="G643"/>
  <c r="H643"/>
  <c r="J643"/>
  <c r="K643"/>
  <c r="A644"/>
  <c r="G644"/>
  <c r="H644"/>
  <c r="J644"/>
  <c r="K644"/>
  <c r="A645"/>
  <c r="G645"/>
  <c r="H645"/>
  <c r="J645"/>
  <c r="K645"/>
  <c r="A646"/>
  <c r="G646"/>
  <c r="H646"/>
  <c r="J646"/>
  <c r="K646"/>
  <c r="A647"/>
  <c r="G647"/>
  <c r="H647"/>
  <c r="J647"/>
  <c r="K647"/>
  <c r="A648"/>
  <c r="G648"/>
  <c r="H648"/>
  <c r="J648"/>
  <c r="K648"/>
  <c r="A649"/>
  <c r="G649"/>
  <c r="H649"/>
  <c r="J649"/>
  <c r="K649"/>
  <c r="A650"/>
  <c r="G650"/>
  <c r="H650"/>
  <c r="J650"/>
  <c r="K650"/>
  <c r="A651"/>
  <c r="G651"/>
  <c r="H651"/>
  <c r="J651"/>
  <c r="K651"/>
  <c r="A652"/>
  <c r="G652"/>
  <c r="H652"/>
  <c r="J652"/>
  <c r="K652"/>
  <c r="A653"/>
  <c r="G653"/>
  <c r="H653"/>
  <c r="J653"/>
  <c r="K653"/>
  <c r="A654"/>
  <c r="G654"/>
  <c r="H654"/>
  <c r="J654"/>
  <c r="K654"/>
  <c r="A655"/>
  <c r="G655"/>
  <c r="H655"/>
  <c r="J655"/>
  <c r="K655"/>
  <c r="A656"/>
  <c r="G656"/>
  <c r="H656"/>
  <c r="J656"/>
  <c r="K656"/>
  <c r="A657"/>
  <c r="G657"/>
  <c r="H657"/>
  <c r="J657"/>
  <c r="K657"/>
  <c r="A658"/>
  <c r="G658"/>
  <c r="H658"/>
  <c r="J658"/>
  <c r="K658"/>
  <c r="A659"/>
  <c r="G659"/>
  <c r="H659"/>
  <c r="J659"/>
  <c r="K659"/>
  <c r="A660"/>
  <c r="G660"/>
  <c r="H660"/>
  <c r="J660"/>
  <c r="K660"/>
  <c r="A661"/>
  <c r="G661"/>
  <c r="H661"/>
  <c r="J661"/>
  <c r="K661"/>
  <c r="A662"/>
  <c r="G662"/>
  <c r="H662"/>
  <c r="J662"/>
  <c r="K662"/>
  <c r="A663"/>
  <c r="G663"/>
  <c r="H663"/>
  <c r="J663"/>
  <c r="K663"/>
  <c r="A664"/>
  <c r="G664"/>
  <c r="H664"/>
  <c r="J664"/>
  <c r="K664"/>
  <c r="A665"/>
  <c r="G665"/>
  <c r="H665"/>
  <c r="J665"/>
  <c r="K665"/>
  <c r="A666"/>
  <c r="G666"/>
  <c r="H666"/>
  <c r="J666"/>
  <c r="K666"/>
  <c r="A667"/>
  <c r="G667"/>
  <c r="H667"/>
  <c r="J667"/>
  <c r="K667"/>
  <c r="A668"/>
  <c r="G668"/>
  <c r="H668"/>
  <c r="J668"/>
  <c r="K668"/>
  <c r="A669"/>
  <c r="G669"/>
  <c r="H669"/>
  <c r="J669"/>
  <c r="K669"/>
  <c r="A670"/>
  <c r="G670"/>
  <c r="H670"/>
  <c r="J670"/>
  <c r="K670"/>
  <c r="A671"/>
  <c r="G671"/>
  <c r="H671"/>
  <c r="J671"/>
  <c r="K671"/>
  <c r="A672"/>
  <c r="G672"/>
  <c r="H672"/>
  <c r="J672"/>
  <c r="K672"/>
  <c r="A673"/>
  <c r="G673"/>
  <c r="H673"/>
  <c r="J673"/>
  <c r="K673"/>
  <c r="A674"/>
  <c r="G674"/>
  <c r="H674"/>
  <c r="J674"/>
  <c r="K674"/>
  <c r="A675"/>
  <c r="G675"/>
  <c r="H675"/>
  <c r="J675"/>
  <c r="K675"/>
  <c r="A676"/>
  <c r="G676"/>
  <c r="H676"/>
  <c r="J676"/>
  <c r="K676"/>
  <c r="A677"/>
  <c r="G677"/>
  <c r="H677"/>
  <c r="J677"/>
  <c r="K677"/>
  <c r="A678"/>
  <c r="G678"/>
  <c r="H678"/>
  <c r="J678"/>
  <c r="K678"/>
  <c r="A679"/>
  <c r="G679"/>
  <c r="H679"/>
  <c r="J679"/>
  <c r="K679"/>
  <c r="A680"/>
  <c r="G680"/>
  <c r="H680"/>
  <c r="J680"/>
  <c r="K680"/>
  <c r="A681"/>
  <c r="G681"/>
  <c r="H681"/>
  <c r="J681"/>
  <c r="K681"/>
  <c r="A682"/>
  <c r="G682"/>
  <c r="H682"/>
  <c r="J682"/>
  <c r="K682"/>
  <c r="A683"/>
  <c r="G683"/>
  <c r="H683"/>
  <c r="J683"/>
  <c r="K683"/>
  <c r="A684"/>
  <c r="G684"/>
  <c r="H684"/>
  <c r="J684"/>
  <c r="K684"/>
  <c r="A685"/>
  <c r="G685"/>
  <c r="H685"/>
  <c r="J685"/>
  <c r="K685"/>
  <c r="A686"/>
  <c r="G686"/>
  <c r="H686"/>
  <c r="J686"/>
  <c r="K686"/>
  <c r="A687"/>
  <c r="G687"/>
  <c r="H687"/>
  <c r="J687"/>
  <c r="K687"/>
  <c r="A688"/>
  <c r="G688"/>
  <c r="H688"/>
  <c r="J688"/>
  <c r="K688"/>
  <c r="A689"/>
  <c r="G689"/>
  <c r="H689"/>
  <c r="J689"/>
  <c r="K689"/>
  <c r="A690"/>
  <c r="G690"/>
  <c r="H690"/>
  <c r="J690"/>
  <c r="K690"/>
  <c r="A691"/>
  <c r="G691"/>
  <c r="H691"/>
  <c r="J691"/>
  <c r="K691"/>
  <c r="A692"/>
  <c r="G692"/>
  <c r="H692"/>
  <c r="J692"/>
  <c r="K692"/>
  <c r="A693"/>
  <c r="G693"/>
  <c r="H693"/>
  <c r="J693"/>
  <c r="K693"/>
  <c r="A694"/>
  <c r="G694"/>
  <c r="H694"/>
  <c r="J694"/>
  <c r="K694"/>
  <c r="A695"/>
  <c r="G695"/>
  <c r="H695"/>
  <c r="J695"/>
  <c r="K695"/>
  <c r="A696"/>
  <c r="G696"/>
  <c r="H696"/>
  <c r="J696"/>
  <c r="K696"/>
  <c r="G697"/>
  <c r="H697"/>
  <c r="J697"/>
  <c r="K697"/>
  <c r="A698"/>
  <c r="G698"/>
  <c r="H698"/>
  <c r="J698"/>
  <c r="K698"/>
  <c r="A699"/>
  <c r="G699"/>
  <c r="H699"/>
  <c r="J699"/>
  <c r="K699"/>
  <c r="A700"/>
  <c r="G700"/>
  <c r="H700"/>
  <c r="J700"/>
  <c r="K700"/>
  <c r="A701"/>
  <c r="G701"/>
  <c r="H701"/>
  <c r="J701"/>
  <c r="K701"/>
  <c r="A702"/>
  <c r="G702"/>
  <c r="H702"/>
  <c r="J702"/>
  <c r="K702"/>
  <c r="A703"/>
  <c r="G703"/>
  <c r="H703"/>
  <c r="J703"/>
  <c r="K703"/>
  <c r="A704"/>
  <c r="G704"/>
  <c r="H704"/>
  <c r="J704"/>
  <c r="K704"/>
  <c r="A705"/>
  <c r="G705"/>
  <c r="H705"/>
  <c r="J705"/>
  <c r="K705"/>
  <c r="A706"/>
  <c r="G706"/>
  <c r="H706"/>
  <c r="J706"/>
  <c r="K706"/>
  <c r="A707"/>
  <c r="G707"/>
  <c r="H707"/>
  <c r="J707"/>
  <c r="K707"/>
  <c r="A708"/>
  <c r="G708"/>
  <c r="H708"/>
  <c r="J708"/>
  <c r="K708"/>
  <c r="A709"/>
  <c r="G709"/>
  <c r="H709"/>
  <c r="J709"/>
  <c r="K709"/>
  <c r="A710"/>
  <c r="G710"/>
  <c r="H710"/>
  <c r="J710"/>
  <c r="K710"/>
  <c r="A711"/>
  <c r="G711"/>
  <c r="H711"/>
  <c r="J711"/>
  <c r="K711"/>
  <c r="A712"/>
  <c r="G712"/>
  <c r="H712"/>
  <c r="J712"/>
  <c r="K712"/>
  <c r="A713"/>
  <c r="G713"/>
  <c r="H713"/>
  <c r="J713"/>
  <c r="K713"/>
  <c r="A714"/>
  <c r="G714"/>
  <c r="H714"/>
  <c r="J714"/>
  <c r="K714"/>
  <c r="A715"/>
  <c r="G715"/>
  <c r="H715"/>
  <c r="J715"/>
  <c r="K715"/>
  <c r="A716"/>
  <c r="G716"/>
  <c r="H716"/>
  <c r="J716"/>
  <c r="K716"/>
  <c r="A717"/>
  <c r="G717"/>
  <c r="H717"/>
  <c r="J717"/>
  <c r="K717"/>
  <c r="A718"/>
  <c r="G718"/>
  <c r="H718"/>
  <c r="J718"/>
  <c r="K718"/>
  <c r="A719"/>
  <c r="G719"/>
  <c r="H719"/>
  <c r="J719"/>
  <c r="K719"/>
  <c r="A720"/>
  <c r="G720"/>
  <c r="H720"/>
  <c r="J720"/>
  <c r="K720"/>
  <c r="A721"/>
  <c r="G721"/>
  <c r="H721"/>
  <c r="J721"/>
  <c r="K721"/>
  <c r="A722"/>
  <c r="G722"/>
  <c r="H722"/>
  <c r="J722"/>
  <c r="K722"/>
  <c r="A723"/>
  <c r="G723"/>
  <c r="H723"/>
  <c r="J723"/>
  <c r="K723"/>
  <c r="A724"/>
  <c r="G724"/>
  <c r="H724"/>
  <c r="J724"/>
  <c r="K724"/>
  <c r="A725"/>
  <c r="G725"/>
  <c r="H725"/>
  <c r="J725"/>
  <c r="K725"/>
  <c r="A726"/>
  <c r="G726"/>
  <c r="H726"/>
  <c r="J726"/>
  <c r="K726"/>
  <c r="A727"/>
  <c r="G727"/>
  <c r="H727"/>
  <c r="J727"/>
  <c r="K727"/>
  <c r="A728"/>
  <c r="G728"/>
  <c r="H728"/>
  <c r="J728"/>
  <c r="K728"/>
  <c r="A729"/>
  <c r="G729"/>
  <c r="H729"/>
  <c r="J729"/>
  <c r="K729"/>
  <c r="A730"/>
  <c r="G730"/>
  <c r="H730"/>
  <c r="J730"/>
  <c r="K730"/>
  <c r="A731"/>
  <c r="G731"/>
  <c r="H731"/>
  <c r="J731"/>
  <c r="K731"/>
  <c r="A732"/>
  <c r="G732"/>
  <c r="H732"/>
  <c r="J732"/>
  <c r="K732"/>
  <c r="A733"/>
  <c r="G733"/>
  <c r="H733"/>
  <c r="J733"/>
  <c r="K733"/>
  <c r="A734"/>
  <c r="G734"/>
  <c r="H734"/>
  <c r="J734"/>
  <c r="K734"/>
  <c r="A735"/>
  <c r="G735"/>
  <c r="H735"/>
  <c r="J735"/>
  <c r="K735"/>
  <c r="A736"/>
  <c r="G736"/>
  <c r="H736"/>
  <c r="J736"/>
  <c r="K736"/>
  <c r="A737"/>
  <c r="G737"/>
  <c r="H737"/>
  <c r="J737"/>
  <c r="K737"/>
  <c r="A738"/>
  <c r="G738"/>
  <c r="H738"/>
  <c r="J738"/>
  <c r="K738"/>
  <c r="A739"/>
  <c r="G739"/>
  <c r="H739"/>
  <c r="J739"/>
  <c r="K739"/>
  <c r="A740"/>
  <c r="G740"/>
  <c r="H740"/>
  <c r="J740"/>
  <c r="K740"/>
  <c r="A741"/>
  <c r="G741"/>
  <c r="H741"/>
  <c r="J741"/>
  <c r="K741"/>
  <c r="A742"/>
  <c r="G742"/>
  <c r="H742"/>
  <c r="J742"/>
  <c r="K742"/>
  <c r="A743"/>
  <c r="G743"/>
  <c r="H743"/>
  <c r="J743"/>
  <c r="K743"/>
  <c r="A744"/>
  <c r="G744"/>
  <c r="H744"/>
  <c r="J744"/>
  <c r="K744"/>
  <c r="A745"/>
  <c r="G745"/>
  <c r="H745"/>
  <c r="J745"/>
  <c r="K745"/>
  <c r="A746"/>
  <c r="G746"/>
  <c r="H746"/>
  <c r="J746"/>
  <c r="K746"/>
  <c r="A747"/>
  <c r="G747"/>
  <c r="H747"/>
  <c r="J747"/>
  <c r="K747"/>
  <c r="A748"/>
  <c r="G748"/>
  <c r="H748"/>
  <c r="J748"/>
  <c r="K748"/>
  <c r="A749"/>
  <c r="G749"/>
  <c r="H749"/>
  <c r="J749"/>
  <c r="K749"/>
  <c r="A750"/>
  <c r="G750"/>
  <c r="H750"/>
  <c r="J750"/>
  <c r="K750"/>
  <c r="A751"/>
  <c r="G751"/>
  <c r="H751"/>
  <c r="J751"/>
  <c r="K751"/>
  <c r="A752"/>
  <c r="G752"/>
  <c r="H752"/>
  <c r="J752"/>
  <c r="K752"/>
  <c r="A753"/>
  <c r="G753"/>
  <c r="H753"/>
  <c r="J753"/>
  <c r="K753"/>
  <c r="A754"/>
  <c r="G754"/>
  <c r="H754"/>
  <c r="J754"/>
  <c r="K754"/>
  <c r="A755"/>
  <c r="G755"/>
  <c r="H755"/>
  <c r="J755"/>
  <c r="K755"/>
  <c r="A756"/>
  <c r="G756"/>
  <c r="H756"/>
  <c r="J756"/>
  <c r="K756"/>
  <c r="A757"/>
  <c r="G757"/>
  <c r="H757"/>
  <c r="J757"/>
  <c r="K757"/>
  <c r="A758"/>
  <c r="G758"/>
  <c r="H758"/>
  <c r="J758"/>
  <c r="K758"/>
  <c r="A759"/>
  <c r="G759"/>
  <c r="H759"/>
  <c r="J759"/>
  <c r="K759"/>
  <c r="A760"/>
  <c r="G760"/>
  <c r="H760"/>
  <c r="J760"/>
  <c r="K760"/>
  <c r="A761"/>
  <c r="G761"/>
  <c r="H761"/>
  <c r="J761"/>
  <c r="K761"/>
  <c r="A762"/>
  <c r="G762"/>
  <c r="H762"/>
  <c r="J762"/>
  <c r="K762"/>
  <c r="A763"/>
  <c r="G763"/>
  <c r="H763"/>
  <c r="J763"/>
  <c r="K763"/>
  <c r="A764"/>
  <c r="G764"/>
  <c r="H764"/>
  <c r="J764"/>
  <c r="K764"/>
  <c r="A765"/>
  <c r="G765"/>
  <c r="H765"/>
  <c r="J765"/>
  <c r="K765"/>
  <c r="A766"/>
  <c r="G766"/>
  <c r="H766"/>
  <c r="J766"/>
  <c r="K766"/>
  <c r="A767"/>
  <c r="G767"/>
  <c r="H767"/>
  <c r="J767"/>
  <c r="K767"/>
  <c r="A768"/>
  <c r="G768"/>
  <c r="H768"/>
  <c r="J768"/>
  <c r="K768"/>
  <c r="A769"/>
  <c r="G769"/>
  <c r="H769"/>
  <c r="J769"/>
  <c r="K769"/>
  <c r="A770"/>
  <c r="G770"/>
  <c r="H770"/>
  <c r="J770"/>
  <c r="K770"/>
  <c r="A771"/>
  <c r="G771"/>
  <c r="H771"/>
  <c r="J771"/>
  <c r="K771"/>
  <c r="A772"/>
  <c r="G772"/>
  <c r="H772"/>
  <c r="J772"/>
  <c r="K772"/>
  <c r="A773"/>
  <c r="G773"/>
  <c r="H773"/>
  <c r="J773"/>
  <c r="K773"/>
  <c r="A774"/>
  <c r="G774"/>
  <c r="H774"/>
  <c r="J774"/>
  <c r="K774"/>
  <c r="A775"/>
  <c r="G775"/>
  <c r="H775"/>
  <c r="J775"/>
  <c r="K775"/>
  <c r="A776"/>
  <c r="G776"/>
  <c r="H776"/>
  <c r="J776"/>
  <c r="K776"/>
  <c r="A777"/>
  <c r="G777"/>
  <c r="H777"/>
  <c r="J777"/>
  <c r="K777"/>
  <c r="A778"/>
  <c r="G778"/>
  <c r="H778"/>
  <c r="J778"/>
  <c r="K778"/>
  <c r="A779"/>
  <c r="G779"/>
  <c r="H779"/>
  <c r="J779"/>
  <c r="K779"/>
  <c r="A780"/>
  <c r="G780"/>
  <c r="H780"/>
  <c r="J780"/>
  <c r="K780"/>
  <c r="A781"/>
  <c r="G781"/>
  <c r="H781"/>
  <c r="J781"/>
  <c r="K781"/>
  <c r="A782"/>
  <c r="G782"/>
  <c r="H782"/>
  <c r="J782"/>
  <c r="K782"/>
  <c r="A783"/>
  <c r="G783"/>
  <c r="H783"/>
  <c r="J783"/>
  <c r="K783"/>
  <c r="A784"/>
  <c r="G784"/>
  <c r="H784"/>
  <c r="J784"/>
  <c r="K784"/>
  <c r="A785"/>
  <c r="G785"/>
  <c r="H785"/>
  <c r="J785"/>
  <c r="K785"/>
  <c r="A786"/>
  <c r="G786"/>
  <c r="H786"/>
  <c r="J786"/>
  <c r="K786"/>
  <c r="A787"/>
  <c r="G787"/>
  <c r="H787"/>
  <c r="J787"/>
  <c r="K787"/>
  <c r="A788"/>
  <c r="G788"/>
  <c r="H788"/>
  <c r="J788"/>
  <c r="K788"/>
  <c r="A789"/>
  <c r="G789"/>
  <c r="H789"/>
  <c r="J789"/>
  <c r="K789"/>
  <c r="A790"/>
  <c r="G790"/>
  <c r="H790"/>
  <c r="J790"/>
  <c r="K790"/>
  <c r="A791"/>
  <c r="G791"/>
  <c r="H791"/>
  <c r="J791"/>
  <c r="K791"/>
  <c r="A792"/>
  <c r="G792"/>
  <c r="H792"/>
  <c r="J792"/>
  <c r="K792"/>
  <c r="A793"/>
  <c r="G793"/>
  <c r="H793"/>
  <c r="J793"/>
  <c r="K793"/>
  <c r="A794"/>
  <c r="G794"/>
  <c r="H794"/>
  <c r="J794"/>
  <c r="K794"/>
  <c r="A795"/>
  <c r="G795"/>
  <c r="H795"/>
  <c r="J795"/>
  <c r="K795"/>
  <c r="S32"/>
  <c r="N32"/>
  <c r="S31"/>
  <c r="N31"/>
  <c r="S30"/>
  <c r="N30"/>
  <c r="S29"/>
  <c r="N29"/>
  <c r="S28"/>
  <c r="N28"/>
  <c r="S27"/>
  <c r="N27"/>
  <c r="S26"/>
  <c r="N26"/>
  <c r="S25"/>
  <c r="N25"/>
  <c r="S24"/>
  <c r="N24"/>
  <c r="S23"/>
  <c r="N23"/>
  <c r="S22"/>
  <c r="N22"/>
  <c r="S21"/>
  <c r="N21"/>
  <c r="S20"/>
  <c r="N20"/>
  <c r="S19"/>
  <c r="N19"/>
  <c r="S18"/>
  <c r="N18"/>
  <c r="S17"/>
  <c r="N17"/>
  <c r="S16"/>
  <c r="N16"/>
  <c r="S15"/>
  <c r="N15"/>
  <c r="S14"/>
  <c r="N14"/>
  <c r="S13"/>
  <c r="N13"/>
  <c r="S12"/>
  <c r="N12"/>
  <c r="S11"/>
  <c r="N11"/>
  <c r="S10"/>
  <c r="N10"/>
  <c r="S9"/>
  <c r="N9"/>
  <c r="S8"/>
  <c r="N8"/>
  <c r="S7"/>
  <c r="N7"/>
  <c r="S6"/>
  <c r="N6"/>
  <c r="K2"/>
  <c r="L5" i="57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L8"/>
  <c r="O4"/>
  <c r="L4"/>
  <c r="I1"/>
  <c r="E4"/>
  <c r="O5"/>
  <c r="E3"/>
  <c r="E7"/>
  <c r="A13"/>
  <c r="E10"/>
  <c r="E8"/>
  <c r="E9"/>
  <c r="K13"/>
  <c r="J13"/>
  <c r="A14"/>
  <c r="E13"/>
  <c r="N13"/>
  <c r="D13"/>
  <c r="C13"/>
  <c r="B13"/>
  <c r="G13"/>
  <c r="L13"/>
  <c r="H13"/>
  <c r="I13"/>
  <c r="C14"/>
  <c r="K14"/>
  <c r="B14"/>
  <c r="J14"/>
  <c r="A15"/>
  <c r="N14"/>
  <c r="D14"/>
  <c r="E14"/>
  <c r="H14"/>
  <c r="I14"/>
  <c r="G14"/>
  <c r="J15"/>
  <c r="B15"/>
  <c r="C15"/>
  <c r="A16"/>
  <c r="E15"/>
  <c r="N15"/>
  <c r="D15"/>
  <c r="K15"/>
  <c r="H15"/>
  <c r="I15"/>
  <c r="G15"/>
  <c r="L15"/>
  <c r="N16"/>
  <c r="D16"/>
  <c r="E16"/>
  <c r="A17"/>
  <c r="C16"/>
  <c r="K16"/>
  <c r="B16"/>
  <c r="J16"/>
  <c r="L14"/>
  <c r="I16"/>
  <c r="H16"/>
  <c r="G16"/>
  <c r="J17"/>
  <c r="A18"/>
  <c r="N17"/>
  <c r="D17"/>
  <c r="E17"/>
  <c r="K17"/>
  <c r="C17"/>
  <c r="B17"/>
  <c r="I17"/>
  <c r="G17"/>
  <c r="L17"/>
  <c r="L16"/>
  <c r="H17"/>
  <c r="K18"/>
  <c r="C18"/>
  <c r="A19"/>
  <c r="E18"/>
  <c r="N18"/>
  <c r="D18"/>
  <c r="B18"/>
  <c r="J18"/>
  <c r="I18"/>
  <c r="H18"/>
  <c r="A20"/>
  <c r="J19"/>
  <c r="B19"/>
  <c r="N19"/>
  <c r="D19"/>
  <c r="E19"/>
  <c r="K19"/>
  <c r="C19"/>
  <c r="G18"/>
  <c r="I19"/>
  <c r="J20"/>
  <c r="A21"/>
  <c r="E20"/>
  <c r="B20"/>
  <c r="N20"/>
  <c r="D20"/>
  <c r="C20"/>
  <c r="K20"/>
  <c r="G19"/>
  <c r="L19"/>
  <c r="H19"/>
  <c r="L18"/>
  <c r="I20"/>
  <c r="H20"/>
  <c r="G20"/>
  <c r="L20"/>
  <c r="A22"/>
  <c r="K21"/>
  <c r="B21"/>
  <c r="J21"/>
  <c r="N21"/>
  <c r="D21"/>
  <c r="E21"/>
  <c r="C21"/>
  <c r="I21"/>
  <c r="G21"/>
  <c r="L21"/>
  <c r="H21"/>
  <c r="J22"/>
  <c r="A23"/>
  <c r="N22"/>
  <c r="D22"/>
  <c r="E22"/>
  <c r="C22"/>
  <c r="K22"/>
  <c r="B22"/>
  <c r="H22"/>
  <c r="I22"/>
  <c r="G22"/>
  <c r="L22"/>
  <c r="K23"/>
  <c r="C23"/>
  <c r="J23"/>
  <c r="B23"/>
  <c r="A24"/>
  <c r="E23"/>
  <c r="N23"/>
  <c r="D23"/>
  <c r="H23"/>
  <c r="I23"/>
  <c r="G23"/>
  <c r="L23"/>
  <c r="A25"/>
  <c r="N24"/>
  <c r="D24"/>
  <c r="E24"/>
  <c r="C24"/>
  <c r="B24"/>
  <c r="K24"/>
  <c r="J24"/>
  <c r="H24"/>
  <c r="I24"/>
  <c r="G24"/>
  <c r="L24"/>
  <c r="J25"/>
  <c r="B25"/>
  <c r="E25"/>
  <c r="A26"/>
  <c r="C25"/>
  <c r="N25"/>
  <c r="D25"/>
  <c r="K25"/>
  <c r="I25"/>
  <c r="H25"/>
  <c r="N26"/>
  <c r="D26"/>
  <c r="E26"/>
  <c r="K26"/>
  <c r="C26"/>
  <c r="J26"/>
  <c r="B26"/>
  <c r="A27"/>
  <c r="G25"/>
  <c r="L25"/>
  <c r="I26"/>
  <c r="G26"/>
  <c r="L26"/>
  <c r="H26"/>
  <c r="A28"/>
  <c r="E27"/>
  <c r="N27"/>
  <c r="D27"/>
  <c r="C27"/>
  <c r="B27"/>
  <c r="K27"/>
  <c r="J27"/>
  <c r="H27"/>
  <c r="I27"/>
  <c r="K28"/>
  <c r="C28"/>
  <c r="J28"/>
  <c r="B28"/>
  <c r="E28"/>
  <c r="A29"/>
  <c r="N28"/>
  <c r="D28"/>
  <c r="G27"/>
  <c r="L27"/>
  <c r="H28"/>
  <c r="I28"/>
  <c r="G28"/>
  <c r="L28"/>
  <c r="A30"/>
  <c r="N29"/>
  <c r="D29"/>
  <c r="E29"/>
  <c r="C29"/>
  <c r="B29"/>
  <c r="K29"/>
  <c r="J29"/>
  <c r="I29"/>
  <c r="H29"/>
  <c r="G29"/>
  <c r="L29"/>
  <c r="A31"/>
  <c r="C30"/>
  <c r="N30"/>
  <c r="D30"/>
  <c r="B30"/>
  <c r="E30"/>
  <c r="K30"/>
  <c r="J30"/>
  <c r="H30"/>
  <c r="I30"/>
  <c r="G30"/>
  <c r="L30"/>
  <c r="K31"/>
  <c r="C31"/>
  <c r="J31"/>
  <c r="B31"/>
  <c r="A32"/>
  <c r="N31"/>
  <c r="D31"/>
  <c r="E31"/>
  <c r="I31"/>
  <c r="G31"/>
  <c r="L31"/>
  <c r="H31"/>
  <c r="A33"/>
  <c r="N32"/>
  <c r="D32"/>
  <c r="E32"/>
  <c r="B32"/>
  <c r="K32"/>
  <c r="J32"/>
  <c r="C32"/>
  <c r="I32"/>
  <c r="G32"/>
  <c r="L32"/>
  <c r="H32"/>
  <c r="J33"/>
  <c r="B33"/>
  <c r="N33"/>
  <c r="D33"/>
  <c r="E33"/>
  <c r="K33"/>
  <c r="A34"/>
  <c r="C33"/>
  <c r="I33"/>
  <c r="H33"/>
  <c r="N34"/>
  <c r="D34"/>
  <c r="E34"/>
  <c r="K34"/>
  <c r="C34"/>
  <c r="A35"/>
  <c r="J34"/>
  <c r="B34"/>
  <c r="G33"/>
  <c r="L33"/>
  <c r="I34"/>
  <c r="H34"/>
  <c r="A36"/>
  <c r="K35"/>
  <c r="J35"/>
  <c r="C35"/>
  <c r="E35"/>
  <c r="N35"/>
  <c r="D35"/>
  <c r="B35"/>
  <c r="G34"/>
  <c r="L34"/>
  <c r="G35"/>
  <c r="L35"/>
  <c r="H35"/>
  <c r="I35"/>
  <c r="K36"/>
  <c r="C36"/>
  <c r="J36"/>
  <c r="B36"/>
  <c r="A37"/>
  <c r="E36"/>
  <c r="N36"/>
  <c r="D36"/>
  <c r="H36"/>
  <c r="I36"/>
  <c r="G36"/>
  <c r="L36"/>
  <c r="A38"/>
  <c r="N37"/>
  <c r="D37"/>
  <c r="E37"/>
  <c r="C37"/>
  <c r="B37"/>
  <c r="K37"/>
  <c r="J37"/>
  <c r="H37"/>
  <c r="I37"/>
  <c r="G37"/>
  <c r="L37"/>
  <c r="J38"/>
  <c r="B38"/>
  <c r="E38"/>
  <c r="A39"/>
  <c r="C38"/>
  <c r="N38"/>
  <c r="D38"/>
  <c r="K38"/>
  <c r="I38"/>
  <c r="G38"/>
  <c r="L38"/>
  <c r="H38"/>
  <c r="K39"/>
  <c r="C39"/>
  <c r="J39"/>
  <c r="B39"/>
  <c r="A40"/>
  <c r="E39"/>
  <c r="N39"/>
  <c r="D39"/>
  <c r="H39"/>
  <c r="G39"/>
  <c r="L39"/>
  <c r="I39"/>
  <c r="A41"/>
  <c r="N40"/>
  <c r="D40"/>
  <c r="E40"/>
  <c r="K40"/>
  <c r="J40"/>
  <c r="C40"/>
  <c r="B40"/>
  <c r="I40"/>
  <c r="H40"/>
  <c r="G40"/>
  <c r="L40"/>
  <c r="J41"/>
  <c r="B41"/>
  <c r="E41"/>
  <c r="K41"/>
  <c r="A42"/>
  <c r="C41"/>
  <c r="N41"/>
  <c r="D41"/>
  <c r="I41"/>
  <c r="H41"/>
  <c r="N42"/>
  <c r="D42"/>
  <c r="E42"/>
  <c r="K42"/>
  <c r="C42"/>
  <c r="J42"/>
  <c r="B42"/>
  <c r="A43"/>
  <c r="G41"/>
  <c r="L41"/>
  <c r="I42"/>
  <c r="G42"/>
  <c r="L42"/>
  <c r="H42"/>
  <c r="A44"/>
  <c r="E43"/>
  <c r="J43"/>
  <c r="N43"/>
  <c r="D43"/>
  <c r="C43"/>
  <c r="B43"/>
  <c r="K43"/>
  <c r="I43"/>
  <c r="H43"/>
  <c r="K44"/>
  <c r="C44"/>
  <c r="J44"/>
  <c r="B44"/>
  <c r="E44"/>
  <c r="A45"/>
  <c r="N44"/>
  <c r="D44"/>
  <c r="G43"/>
  <c r="L43"/>
  <c r="I44"/>
  <c r="G44"/>
  <c r="L44"/>
  <c r="H44"/>
  <c r="A46"/>
  <c r="N45"/>
  <c r="D45"/>
  <c r="E45"/>
  <c r="C45"/>
  <c r="B45"/>
  <c r="K45"/>
  <c r="J45"/>
  <c r="I45"/>
  <c r="G45"/>
  <c r="L45"/>
  <c r="H45"/>
  <c r="A47"/>
  <c r="C46"/>
  <c r="N46"/>
  <c r="D46"/>
  <c r="B46"/>
  <c r="E46"/>
  <c r="K46"/>
  <c r="J46"/>
  <c r="I46"/>
  <c r="G46"/>
  <c r="L46"/>
  <c r="K47"/>
  <c r="C47"/>
  <c r="J47"/>
  <c r="B47"/>
  <c r="A48"/>
  <c r="N47"/>
  <c r="D47"/>
  <c r="E47"/>
  <c r="H46"/>
  <c r="I47"/>
  <c r="G47"/>
  <c r="L47"/>
  <c r="H47"/>
  <c r="A49"/>
  <c r="N48"/>
  <c r="D48"/>
  <c r="E48"/>
  <c r="C48"/>
  <c r="B48"/>
  <c r="K48"/>
  <c r="J48"/>
  <c r="I48"/>
  <c r="G48"/>
  <c r="L48"/>
  <c r="J49"/>
  <c r="B49"/>
  <c r="E49"/>
  <c r="K49"/>
  <c r="C49"/>
  <c r="A50"/>
  <c r="N49"/>
  <c r="D49"/>
  <c r="H48"/>
  <c r="I49"/>
  <c r="H49"/>
  <c r="G49"/>
  <c r="L49"/>
  <c r="N50"/>
  <c r="D50"/>
  <c r="E50"/>
  <c r="K50"/>
  <c r="C50"/>
  <c r="J50"/>
  <c r="B50"/>
  <c r="A51"/>
  <c r="I50"/>
  <c r="H50"/>
  <c r="G50"/>
  <c r="L50"/>
  <c r="A52"/>
  <c r="N51"/>
  <c r="D51"/>
  <c r="E51"/>
  <c r="J51"/>
  <c r="B51"/>
  <c r="C51"/>
  <c r="K51"/>
  <c r="I51"/>
  <c r="H51"/>
  <c r="K52"/>
  <c r="C52"/>
  <c r="J52"/>
  <c r="B52"/>
  <c r="N52"/>
  <c r="D52"/>
  <c r="E52"/>
  <c r="A53"/>
  <c r="G51"/>
  <c r="L51"/>
  <c r="H52"/>
  <c r="I52"/>
  <c r="G52"/>
  <c r="L52"/>
  <c r="A54"/>
  <c r="N53"/>
  <c r="D53"/>
  <c r="E53"/>
  <c r="E54"/>
  <c r="K53"/>
  <c r="C53"/>
  <c r="J53"/>
  <c r="B53"/>
  <c r="I53"/>
  <c r="H53"/>
  <c r="E56"/>
  <c r="E57"/>
  <c r="E58"/>
  <c r="E55"/>
  <c r="G53"/>
  <c r="L53"/>
  <c r="N54"/>
  <c r="D54"/>
  <c r="I54"/>
  <c r="B54"/>
  <c r="K54"/>
  <c r="J54"/>
  <c r="C54"/>
  <c r="J58"/>
  <c r="J55"/>
  <c r="J56"/>
  <c r="J57"/>
  <c r="I58"/>
  <c r="I57"/>
  <c r="I56"/>
  <c r="I55"/>
  <c r="K56"/>
  <c r="K57"/>
  <c r="K55"/>
  <c r="K58"/>
  <c r="D55"/>
  <c r="D58"/>
  <c r="D57"/>
  <c r="D56"/>
  <c r="B57"/>
  <c r="B58"/>
  <c r="B55"/>
  <c r="B56"/>
  <c r="G54"/>
  <c r="H54"/>
  <c r="H58"/>
  <c r="H57"/>
  <c r="H56"/>
  <c r="H55"/>
  <c r="G56"/>
  <c r="G55"/>
  <c r="G57"/>
  <c r="G58"/>
  <c r="L54"/>
  <c r="L57"/>
  <c r="L55"/>
  <c r="L58"/>
  <c r="L56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L5" i="54"/>
  <c r="I1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L8"/>
  <c r="O4"/>
  <c r="O5"/>
  <c r="L4"/>
  <c r="E4"/>
  <c r="E3"/>
  <c r="A13"/>
  <c r="E13"/>
  <c r="E7"/>
  <c r="B13"/>
  <c r="C13"/>
  <c r="K13"/>
  <c r="N13"/>
  <c r="J13"/>
  <c r="E10"/>
  <c r="E9"/>
  <c r="A14"/>
  <c r="D13"/>
  <c r="G13"/>
  <c r="E8"/>
  <c r="H13"/>
  <c r="K14"/>
  <c r="C14"/>
  <c r="J14"/>
  <c r="B14"/>
  <c r="N14"/>
  <c r="D14"/>
  <c r="A15"/>
  <c r="E14"/>
  <c r="H14"/>
  <c r="I13"/>
  <c r="I14"/>
  <c r="G14"/>
  <c r="L14"/>
  <c r="J15"/>
  <c r="B15"/>
  <c r="A16"/>
  <c r="N15"/>
  <c r="D15"/>
  <c r="E15"/>
  <c r="K15"/>
  <c r="C15"/>
  <c r="L13"/>
  <c r="H15"/>
  <c r="I15"/>
  <c r="G15"/>
  <c r="N16"/>
  <c r="D16"/>
  <c r="E16"/>
  <c r="J16"/>
  <c r="B16"/>
  <c r="A17"/>
  <c r="K16"/>
  <c r="C16"/>
  <c r="I16"/>
  <c r="G16"/>
  <c r="N17"/>
  <c r="D17"/>
  <c r="E17"/>
  <c r="K17"/>
  <c r="C17"/>
  <c r="B17"/>
  <c r="J17"/>
  <c r="A18"/>
  <c r="H16"/>
  <c r="L15"/>
  <c r="G17"/>
  <c r="L17"/>
  <c r="H17"/>
  <c r="I17"/>
  <c r="K18"/>
  <c r="C18"/>
  <c r="A19"/>
  <c r="E18"/>
  <c r="N18"/>
  <c r="D18"/>
  <c r="B18"/>
  <c r="J18"/>
  <c r="L16"/>
  <c r="H18"/>
  <c r="G18"/>
  <c r="L18"/>
  <c r="A20"/>
  <c r="K19"/>
  <c r="C19"/>
  <c r="J19"/>
  <c r="B19"/>
  <c r="E19"/>
  <c r="N19"/>
  <c r="D19"/>
  <c r="I18"/>
  <c r="I19"/>
  <c r="H19"/>
  <c r="G19"/>
  <c r="A21"/>
  <c r="N20"/>
  <c r="D20"/>
  <c r="E20"/>
  <c r="B20"/>
  <c r="K20"/>
  <c r="J20"/>
  <c r="C20"/>
  <c r="I20"/>
  <c r="G20"/>
  <c r="L20"/>
  <c r="H20"/>
  <c r="L19"/>
  <c r="J21"/>
  <c r="K21"/>
  <c r="E21"/>
  <c r="C21"/>
  <c r="B21"/>
  <c r="A22"/>
  <c r="N21"/>
  <c r="D21"/>
  <c r="H21"/>
  <c r="I21"/>
  <c r="G21"/>
  <c r="L21"/>
  <c r="K22"/>
  <c r="C22"/>
  <c r="J22"/>
  <c r="B22"/>
  <c r="N22"/>
  <c r="D22"/>
  <c r="A23"/>
  <c r="E22"/>
  <c r="H22"/>
  <c r="I22"/>
  <c r="G22"/>
  <c r="L22"/>
  <c r="J23"/>
  <c r="B23"/>
  <c r="A24"/>
  <c r="N23"/>
  <c r="D23"/>
  <c r="E23"/>
  <c r="K23"/>
  <c r="C23"/>
  <c r="H23"/>
  <c r="I23"/>
  <c r="N24"/>
  <c r="D24"/>
  <c r="E24"/>
  <c r="J24"/>
  <c r="B24"/>
  <c r="A25"/>
  <c r="K24"/>
  <c r="C24"/>
  <c r="G23"/>
  <c r="L23"/>
  <c r="G24"/>
  <c r="L24"/>
  <c r="I24"/>
  <c r="H24"/>
  <c r="N25"/>
  <c r="D25"/>
  <c r="E25"/>
  <c r="K25"/>
  <c r="C25"/>
  <c r="B25"/>
  <c r="A26"/>
  <c r="J25"/>
  <c r="H25"/>
  <c r="I25"/>
  <c r="G25"/>
  <c r="L25"/>
  <c r="K26"/>
  <c r="C26"/>
  <c r="A27"/>
  <c r="E26"/>
  <c r="B26"/>
  <c r="N26"/>
  <c r="D26"/>
  <c r="J26"/>
  <c r="H26"/>
  <c r="G26"/>
  <c r="L26"/>
  <c r="A28"/>
  <c r="K27"/>
  <c r="C27"/>
  <c r="J27"/>
  <c r="B27"/>
  <c r="E27"/>
  <c r="N27"/>
  <c r="D27"/>
  <c r="I26"/>
  <c r="I27"/>
  <c r="G27"/>
  <c r="L27"/>
  <c r="H27"/>
  <c r="A29"/>
  <c r="N28"/>
  <c r="D28"/>
  <c r="E28"/>
  <c r="C28"/>
  <c r="J28"/>
  <c r="B28"/>
  <c r="K28"/>
  <c r="H28"/>
  <c r="I28"/>
  <c r="G28"/>
  <c r="L28"/>
  <c r="J29"/>
  <c r="E29"/>
  <c r="N29"/>
  <c r="D29"/>
  <c r="A30"/>
  <c r="K29"/>
  <c r="C29"/>
  <c r="B29"/>
  <c r="I29"/>
  <c r="G29"/>
  <c r="L29"/>
  <c r="H29"/>
  <c r="K30"/>
  <c r="C30"/>
  <c r="J30"/>
  <c r="B30"/>
  <c r="N30"/>
  <c r="D30"/>
  <c r="A31"/>
  <c r="E30"/>
  <c r="I30"/>
  <c r="G30"/>
  <c r="L30"/>
  <c r="J31"/>
  <c r="B31"/>
  <c r="A32"/>
  <c r="N31"/>
  <c r="D31"/>
  <c r="E31"/>
  <c r="K31"/>
  <c r="C31"/>
  <c r="H30"/>
  <c r="H31"/>
  <c r="I31"/>
  <c r="G31"/>
  <c r="L31"/>
  <c r="N32"/>
  <c r="D32"/>
  <c r="E32"/>
  <c r="J32"/>
  <c r="B32"/>
  <c r="A33"/>
  <c r="K32"/>
  <c r="C32"/>
  <c r="H32"/>
  <c r="I32"/>
  <c r="G32"/>
  <c r="L32"/>
  <c r="N33"/>
  <c r="D33"/>
  <c r="E33"/>
  <c r="K33"/>
  <c r="C33"/>
  <c r="B33"/>
  <c r="J33"/>
  <c r="A34"/>
  <c r="I33"/>
  <c r="H33"/>
  <c r="K34"/>
  <c r="C34"/>
  <c r="A35"/>
  <c r="E34"/>
  <c r="B34"/>
  <c r="N34"/>
  <c r="D34"/>
  <c r="J34"/>
  <c r="G33"/>
  <c r="L33"/>
  <c r="H34"/>
  <c r="I34"/>
  <c r="G34"/>
  <c r="L34"/>
  <c r="A36"/>
  <c r="K35"/>
  <c r="C35"/>
  <c r="J35"/>
  <c r="B35"/>
  <c r="E35"/>
  <c r="N35"/>
  <c r="D35"/>
  <c r="H35"/>
  <c r="I35"/>
  <c r="G35"/>
  <c r="L35"/>
  <c r="A37"/>
  <c r="N36"/>
  <c r="D36"/>
  <c r="E36"/>
  <c r="C36"/>
  <c r="K36"/>
  <c r="J36"/>
  <c r="B36"/>
  <c r="I36"/>
  <c r="H36"/>
  <c r="G36"/>
  <c r="L36"/>
  <c r="J37"/>
  <c r="E37"/>
  <c r="A38"/>
  <c r="N37"/>
  <c r="D37"/>
  <c r="K37"/>
  <c r="C37"/>
  <c r="B37"/>
  <c r="I37"/>
  <c r="G37"/>
  <c r="L37"/>
  <c r="H37"/>
  <c r="K38"/>
  <c r="C38"/>
  <c r="J38"/>
  <c r="B38"/>
  <c r="N38"/>
  <c r="D38"/>
  <c r="A39"/>
  <c r="E38"/>
  <c r="I38"/>
  <c r="G38"/>
  <c r="L38"/>
  <c r="H38"/>
  <c r="J39"/>
  <c r="B39"/>
  <c r="A40"/>
  <c r="N39"/>
  <c r="D39"/>
  <c r="E39"/>
  <c r="K39"/>
  <c r="C39"/>
  <c r="I39"/>
  <c r="G39"/>
  <c r="L39"/>
  <c r="N40"/>
  <c r="D40"/>
  <c r="E40"/>
  <c r="J40"/>
  <c r="B40"/>
  <c r="A41"/>
  <c r="C40"/>
  <c r="K40"/>
  <c r="H39"/>
  <c r="G40"/>
  <c r="L40"/>
  <c r="I40"/>
  <c r="N41"/>
  <c r="D41"/>
  <c r="E41"/>
  <c r="K41"/>
  <c r="C41"/>
  <c r="B41"/>
  <c r="J41"/>
  <c r="A42"/>
  <c r="H40"/>
  <c r="H41"/>
  <c r="I41"/>
  <c r="K42"/>
  <c r="C42"/>
  <c r="A43"/>
  <c r="E42"/>
  <c r="B42"/>
  <c r="J42"/>
  <c r="N42"/>
  <c r="D42"/>
  <c r="G41"/>
  <c r="L41"/>
  <c r="H42"/>
  <c r="I42"/>
  <c r="G42"/>
  <c r="L42"/>
  <c r="A44"/>
  <c r="K43"/>
  <c r="C43"/>
  <c r="J43"/>
  <c r="B43"/>
  <c r="E43"/>
  <c r="N43"/>
  <c r="D43"/>
  <c r="H43"/>
  <c r="I43"/>
  <c r="G43"/>
  <c r="L43"/>
  <c r="A45"/>
  <c r="N44"/>
  <c r="D44"/>
  <c r="E44"/>
  <c r="C44"/>
  <c r="K44"/>
  <c r="J44"/>
  <c r="B44"/>
  <c r="I44"/>
  <c r="H44"/>
  <c r="G44"/>
  <c r="L44"/>
  <c r="J45"/>
  <c r="E45"/>
  <c r="A46"/>
  <c r="N45"/>
  <c r="D45"/>
  <c r="K45"/>
  <c r="C45"/>
  <c r="B45"/>
  <c r="H45"/>
  <c r="I45"/>
  <c r="G45"/>
  <c r="L45"/>
  <c r="A47"/>
  <c r="K46"/>
  <c r="C46"/>
  <c r="J46"/>
  <c r="B46"/>
  <c r="N46"/>
  <c r="D46"/>
  <c r="E46"/>
  <c r="G46"/>
  <c r="L46"/>
  <c r="I46"/>
  <c r="H46"/>
  <c r="J47"/>
  <c r="B47"/>
  <c r="A48"/>
  <c r="N47"/>
  <c r="D47"/>
  <c r="E47"/>
  <c r="C47"/>
  <c r="K47"/>
  <c r="H47"/>
  <c r="G47"/>
  <c r="L47"/>
  <c r="I47"/>
  <c r="N48"/>
  <c r="D48"/>
  <c r="E48"/>
  <c r="J48"/>
  <c r="B48"/>
  <c r="C48"/>
  <c r="A49"/>
  <c r="K48"/>
  <c r="I48"/>
  <c r="H48"/>
  <c r="G48"/>
  <c r="L48"/>
  <c r="N49"/>
  <c r="D49"/>
  <c r="E49"/>
  <c r="K49"/>
  <c r="C49"/>
  <c r="A50"/>
  <c r="J49"/>
  <c r="B49"/>
  <c r="I49"/>
  <c r="H49"/>
  <c r="G49"/>
  <c r="L49"/>
  <c r="K50"/>
  <c r="C50"/>
  <c r="J50"/>
  <c r="B50"/>
  <c r="A51"/>
  <c r="N50"/>
  <c r="D50"/>
  <c r="E50"/>
  <c r="H50"/>
  <c r="I50"/>
  <c r="G50"/>
  <c r="L50"/>
  <c r="A52"/>
  <c r="N51"/>
  <c r="D51"/>
  <c r="E51"/>
  <c r="K51"/>
  <c r="C51"/>
  <c r="J51"/>
  <c r="B51"/>
  <c r="I51"/>
  <c r="G51"/>
  <c r="L51"/>
  <c r="H51"/>
  <c r="A53"/>
  <c r="N52"/>
  <c r="D52"/>
  <c r="E52"/>
  <c r="J52"/>
  <c r="K52"/>
  <c r="C52"/>
  <c r="B52"/>
  <c r="I52"/>
  <c r="G52"/>
  <c r="L52"/>
  <c r="H52"/>
  <c r="K53"/>
  <c r="C53"/>
  <c r="A54"/>
  <c r="N53"/>
  <c r="D53"/>
  <c r="J53"/>
  <c r="E53"/>
  <c r="E54"/>
  <c r="B53"/>
  <c r="I53"/>
  <c r="H53"/>
  <c r="G53"/>
  <c r="L53"/>
  <c r="E56"/>
  <c r="E55"/>
  <c r="E57"/>
  <c r="E58"/>
  <c r="K54"/>
  <c r="C54"/>
  <c r="J54"/>
  <c r="B54"/>
  <c r="N54"/>
  <c r="D54"/>
  <c r="I54"/>
  <c r="G54"/>
  <c r="L54"/>
  <c r="L56"/>
  <c r="H54"/>
  <c r="H55"/>
  <c r="D55"/>
  <c r="D56"/>
  <c r="D58"/>
  <c r="D57"/>
  <c r="B57"/>
  <c r="B55"/>
  <c r="B56"/>
  <c r="B58"/>
  <c r="J55"/>
  <c r="J57"/>
  <c r="J56"/>
  <c r="J58"/>
  <c r="I58"/>
  <c r="I57"/>
  <c r="I55"/>
  <c r="I56"/>
  <c r="K56"/>
  <c r="K55"/>
  <c r="K57"/>
  <c r="K58"/>
  <c r="G56"/>
  <c r="G57"/>
  <c r="G55"/>
  <c r="L55"/>
  <c r="H57"/>
  <c r="H56"/>
  <c r="G58"/>
  <c r="H58"/>
  <c r="L57"/>
  <c r="L58"/>
  <c r="L5" i="53"/>
  <c r="I1"/>
  <c r="L8"/>
  <c r="O4"/>
  <c r="O5"/>
  <c r="E4"/>
  <c r="E3"/>
  <c r="A13"/>
  <c r="E13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L4"/>
  <c r="B13"/>
  <c r="N13"/>
  <c r="E9"/>
  <c r="A14"/>
  <c r="E14"/>
  <c r="E10"/>
  <c r="C13"/>
  <c r="K13"/>
  <c r="J13"/>
  <c r="E8"/>
  <c r="H13"/>
  <c r="D13"/>
  <c r="G13"/>
  <c r="L13"/>
  <c r="J14"/>
  <c r="C14"/>
  <c r="A15"/>
  <c r="N14"/>
  <c r="D14"/>
  <c r="I14"/>
  <c r="B14"/>
  <c r="K14"/>
  <c r="H14"/>
  <c r="J15"/>
  <c r="E15"/>
  <c r="I13"/>
  <c r="C15"/>
  <c r="K15"/>
  <c r="A16"/>
  <c r="N15"/>
  <c r="D15"/>
  <c r="G14"/>
  <c r="L14"/>
  <c r="B15"/>
  <c r="I15"/>
  <c r="H15"/>
  <c r="A17"/>
  <c r="E17"/>
  <c r="E16"/>
  <c r="K16"/>
  <c r="J16"/>
  <c r="B16"/>
  <c r="N16"/>
  <c r="D16"/>
  <c r="G15"/>
  <c r="L15"/>
  <c r="C16"/>
  <c r="G16"/>
  <c r="L16"/>
  <c r="H16"/>
  <c r="I16"/>
  <c r="K17"/>
  <c r="B17"/>
  <c r="N17"/>
  <c r="D17"/>
  <c r="I17"/>
  <c r="C17"/>
  <c r="A18"/>
  <c r="E18"/>
  <c r="J17"/>
  <c r="G17"/>
  <c r="L17"/>
  <c r="B18"/>
  <c r="C18"/>
  <c r="K18"/>
  <c r="J18"/>
  <c r="N18"/>
  <c r="D18"/>
  <c r="A19"/>
  <c r="E19"/>
  <c r="H17"/>
  <c r="G18"/>
  <c r="L18"/>
  <c r="C19"/>
  <c r="H18"/>
  <c r="K19"/>
  <c r="J19"/>
  <c r="A20"/>
  <c r="E20"/>
  <c r="B19"/>
  <c r="I18"/>
  <c r="N19"/>
  <c r="D19"/>
  <c r="H19"/>
  <c r="J20"/>
  <c r="C20"/>
  <c r="B20"/>
  <c r="N20"/>
  <c r="D20"/>
  <c r="I20"/>
  <c r="A21"/>
  <c r="E21"/>
  <c r="G19"/>
  <c r="L19"/>
  <c r="K20"/>
  <c r="I19"/>
  <c r="H20"/>
  <c r="G20"/>
  <c r="L20"/>
  <c r="K21"/>
  <c r="B21"/>
  <c r="C21"/>
  <c r="N21"/>
  <c r="D21"/>
  <c r="I21"/>
  <c r="A22"/>
  <c r="E22"/>
  <c r="J21"/>
  <c r="J22"/>
  <c r="B22"/>
  <c r="G21"/>
  <c r="L21"/>
  <c r="H21"/>
  <c r="N22"/>
  <c r="D22"/>
  <c r="I22"/>
  <c r="A23"/>
  <c r="E23"/>
  <c r="C22"/>
  <c r="K22"/>
  <c r="G22"/>
  <c r="L22"/>
  <c r="C23"/>
  <c r="K23"/>
  <c r="A24"/>
  <c r="E24"/>
  <c r="B23"/>
  <c r="H22"/>
  <c r="J23"/>
  <c r="N23"/>
  <c r="D23"/>
  <c r="I23"/>
  <c r="J24"/>
  <c r="K24"/>
  <c r="G23"/>
  <c r="L23"/>
  <c r="H23"/>
  <c r="A25"/>
  <c r="E25"/>
  <c r="N24"/>
  <c r="D24"/>
  <c r="I24"/>
  <c r="B24"/>
  <c r="C24"/>
  <c r="G24"/>
  <c r="L24"/>
  <c r="H24"/>
  <c r="N25"/>
  <c r="D25"/>
  <c r="I25"/>
  <c r="A26"/>
  <c r="E26"/>
  <c r="B25"/>
  <c r="C25"/>
  <c r="J25"/>
  <c r="K25"/>
  <c r="N26"/>
  <c r="D26"/>
  <c r="I26"/>
  <c r="H25"/>
  <c r="K26"/>
  <c r="J26"/>
  <c r="B26"/>
  <c r="A27"/>
  <c r="E27"/>
  <c r="C26"/>
  <c r="G25"/>
  <c r="L25"/>
  <c r="N27"/>
  <c r="D27"/>
  <c r="I27"/>
  <c r="A28"/>
  <c r="E28"/>
  <c r="G26"/>
  <c r="L26"/>
  <c r="K27"/>
  <c r="H26"/>
  <c r="C27"/>
  <c r="B27"/>
  <c r="J27"/>
  <c r="A29"/>
  <c r="E29"/>
  <c r="N28"/>
  <c r="D28"/>
  <c r="I28"/>
  <c r="J28"/>
  <c r="K28"/>
  <c r="H27"/>
  <c r="B28"/>
  <c r="C28"/>
  <c r="G27"/>
  <c r="L27"/>
  <c r="B29"/>
  <c r="C29"/>
  <c r="J29"/>
  <c r="A30"/>
  <c r="E30"/>
  <c r="G28"/>
  <c r="L28"/>
  <c r="K29"/>
  <c r="N29"/>
  <c r="D29"/>
  <c r="I29"/>
  <c r="H28"/>
  <c r="H29"/>
  <c r="B30"/>
  <c r="N30"/>
  <c r="D30"/>
  <c r="I30"/>
  <c r="J30"/>
  <c r="C30"/>
  <c r="A31"/>
  <c r="E31"/>
  <c r="K30"/>
  <c r="G29"/>
  <c r="L29"/>
  <c r="H30"/>
  <c r="C31"/>
  <c r="A32"/>
  <c r="E32"/>
  <c r="K31"/>
  <c r="B31"/>
  <c r="G30"/>
  <c r="L30"/>
  <c r="J31"/>
  <c r="N31"/>
  <c r="D31"/>
  <c r="I31"/>
  <c r="C32"/>
  <c r="B32"/>
  <c r="H32"/>
  <c r="H31"/>
  <c r="K32"/>
  <c r="J32"/>
  <c r="A33"/>
  <c r="E33"/>
  <c r="N32"/>
  <c r="D32"/>
  <c r="I32"/>
  <c r="G31"/>
  <c r="L31"/>
  <c r="C33"/>
  <c r="B33"/>
  <c r="N33"/>
  <c r="D33"/>
  <c r="I33"/>
  <c r="A34"/>
  <c r="E34"/>
  <c r="G32"/>
  <c r="L32"/>
  <c r="J33"/>
  <c r="K33"/>
  <c r="H33"/>
  <c r="B34"/>
  <c r="N34"/>
  <c r="D34"/>
  <c r="I34"/>
  <c r="K34"/>
  <c r="A35"/>
  <c r="E35"/>
  <c r="C34"/>
  <c r="G33"/>
  <c r="L33"/>
  <c r="J34"/>
  <c r="H34"/>
  <c r="B35"/>
  <c r="G34"/>
  <c r="L34"/>
  <c r="N35"/>
  <c r="D35"/>
  <c r="I35"/>
  <c r="C35"/>
  <c r="K35"/>
  <c r="J35"/>
  <c r="A36"/>
  <c r="E36"/>
  <c r="G35"/>
  <c r="H35"/>
  <c r="J36"/>
  <c r="K36"/>
  <c r="B36"/>
  <c r="C36"/>
  <c r="N36"/>
  <c r="D36"/>
  <c r="I36"/>
  <c r="A37"/>
  <c r="E37"/>
  <c r="L35"/>
  <c r="H36"/>
  <c r="K37"/>
  <c r="C37"/>
  <c r="N37"/>
  <c r="D37"/>
  <c r="I37"/>
  <c r="B37"/>
  <c r="A38"/>
  <c r="E38"/>
  <c r="J37"/>
  <c r="G36"/>
  <c r="L36"/>
  <c r="H37"/>
  <c r="J38"/>
  <c r="B38"/>
  <c r="N38"/>
  <c r="D38"/>
  <c r="I38"/>
  <c r="A39"/>
  <c r="E39"/>
  <c r="C38"/>
  <c r="G37"/>
  <c r="L37"/>
  <c r="K38"/>
  <c r="H38"/>
  <c r="G38"/>
  <c r="L38"/>
  <c r="K39"/>
  <c r="A40"/>
  <c r="E40"/>
  <c r="C39"/>
  <c r="B39"/>
  <c r="J39"/>
  <c r="N39"/>
  <c r="D39"/>
  <c r="I39"/>
  <c r="N40"/>
  <c r="D40"/>
  <c r="I40"/>
  <c r="K40"/>
  <c r="B40"/>
  <c r="H39"/>
  <c r="C40"/>
  <c r="A41"/>
  <c r="E41"/>
  <c r="J40"/>
  <c r="G39"/>
  <c r="L39"/>
  <c r="G40"/>
  <c r="L40"/>
  <c r="H40"/>
  <c r="B41"/>
  <c r="N41"/>
  <c r="D41"/>
  <c r="I41"/>
  <c r="C41"/>
  <c r="A42"/>
  <c r="E42"/>
  <c r="J41"/>
  <c r="K41"/>
  <c r="G41"/>
  <c r="L41"/>
  <c r="H41"/>
  <c r="N42"/>
  <c r="D42"/>
  <c r="I42"/>
  <c r="B42"/>
  <c r="K42"/>
  <c r="A43"/>
  <c r="E43"/>
  <c r="C42"/>
  <c r="J42"/>
  <c r="H42"/>
  <c r="G42"/>
  <c r="L42"/>
  <c r="C43"/>
  <c r="N43"/>
  <c r="D43"/>
  <c r="I43"/>
  <c r="B43"/>
  <c r="J43"/>
  <c r="K43"/>
  <c r="A44"/>
  <c r="E44"/>
  <c r="H43"/>
  <c r="G43"/>
  <c r="L43"/>
  <c r="A45"/>
  <c r="E45"/>
  <c r="K44"/>
  <c r="C44"/>
  <c r="N44"/>
  <c r="D44"/>
  <c r="I44"/>
  <c r="B44"/>
  <c r="J44"/>
  <c r="N45"/>
  <c r="D45"/>
  <c r="I45"/>
  <c r="H44"/>
  <c r="B45"/>
  <c r="J45"/>
  <c r="A46"/>
  <c r="E46"/>
  <c r="K45"/>
  <c r="C45"/>
  <c r="G44"/>
  <c r="L44"/>
  <c r="G45"/>
  <c r="A47"/>
  <c r="E47"/>
  <c r="H45"/>
  <c r="B46"/>
  <c r="C46"/>
  <c r="J46"/>
  <c r="K46"/>
  <c r="L45"/>
  <c r="N46"/>
  <c r="D46"/>
  <c r="I46"/>
  <c r="C47"/>
  <c r="K47"/>
  <c r="N47"/>
  <c r="D47"/>
  <c r="I47"/>
  <c r="A48"/>
  <c r="E48"/>
  <c r="B47"/>
  <c r="J47"/>
  <c r="H46"/>
  <c r="G46"/>
  <c r="L46"/>
  <c r="A49"/>
  <c r="E49"/>
  <c r="H47"/>
  <c r="G47"/>
  <c r="L47"/>
  <c r="B48"/>
  <c r="C48"/>
  <c r="J48"/>
  <c r="K48"/>
  <c r="N48"/>
  <c r="D48"/>
  <c r="I48"/>
  <c r="N49"/>
  <c r="D49"/>
  <c r="I49"/>
  <c r="H48"/>
  <c r="A50"/>
  <c r="E50"/>
  <c r="J49"/>
  <c r="C49"/>
  <c r="K49"/>
  <c r="G48"/>
  <c r="L48"/>
  <c r="B49"/>
  <c r="G49"/>
  <c r="K50"/>
  <c r="H49"/>
  <c r="N50"/>
  <c r="D50"/>
  <c r="I50"/>
  <c r="A51"/>
  <c r="E51"/>
  <c r="B50"/>
  <c r="G50"/>
  <c r="J50"/>
  <c r="C50"/>
  <c r="L49"/>
  <c r="J51"/>
  <c r="N51"/>
  <c r="D51"/>
  <c r="I51"/>
  <c r="A52"/>
  <c r="E52"/>
  <c r="L50"/>
  <c r="H50"/>
  <c r="C51"/>
  <c r="K51"/>
  <c r="B51"/>
  <c r="G51"/>
  <c r="J52"/>
  <c r="C52"/>
  <c r="A53"/>
  <c r="E53"/>
  <c r="E54"/>
  <c r="K52"/>
  <c r="N52"/>
  <c r="D52"/>
  <c r="I52"/>
  <c r="B52"/>
  <c r="L51"/>
  <c r="H51"/>
  <c r="E58"/>
  <c r="E57"/>
  <c r="E56"/>
  <c r="E55"/>
  <c r="H52"/>
  <c r="G52"/>
  <c r="L52"/>
  <c r="N53"/>
  <c r="D53"/>
  <c r="I53"/>
  <c r="K53"/>
  <c r="C53"/>
  <c r="B53"/>
  <c r="A54"/>
  <c r="J53"/>
  <c r="G53"/>
  <c r="L53"/>
  <c r="H53"/>
  <c r="K54"/>
  <c r="C54"/>
  <c r="J54"/>
  <c r="B54"/>
  <c r="N54"/>
  <c r="D54"/>
  <c r="D58"/>
  <c r="D57"/>
  <c r="D55"/>
  <c r="D56"/>
  <c r="I54"/>
  <c r="K55"/>
  <c r="K56"/>
  <c r="K57"/>
  <c r="K58"/>
  <c r="B56"/>
  <c r="B55"/>
  <c r="B57"/>
  <c r="B58"/>
  <c r="J55"/>
  <c r="J57"/>
  <c r="J58"/>
  <c r="J56"/>
  <c r="G54"/>
  <c r="H54"/>
  <c r="H57"/>
  <c r="H58"/>
  <c r="H56"/>
  <c r="H55"/>
  <c r="I55"/>
  <c r="I57"/>
  <c r="I58"/>
  <c r="I56"/>
  <c r="G56"/>
  <c r="G58"/>
  <c r="G57"/>
  <c r="G55"/>
  <c r="L54"/>
  <c r="L55"/>
  <c r="L56"/>
  <c r="L57"/>
  <c r="L58"/>
</calcChain>
</file>

<file path=xl/sharedStrings.xml><?xml version="1.0" encoding="utf-8"?>
<sst xmlns="http://schemas.openxmlformats.org/spreadsheetml/2006/main" count="1067" uniqueCount="412">
  <si>
    <t>Mirror reflectivity (Protected Ag)</t>
  </si>
  <si>
    <t>extending to 2.4, using layout 121106f</t>
  </si>
  <si>
    <t>aperture adjusted from 2.4 to 2.36m diam.</t>
  </si>
  <si>
    <t>average 1.3-1.86 um</t>
  </si>
  <si>
    <t>it is NOT yet known if 2.4um can be accommodated with this telescope; using 2.4 optical cutoff NOTIONALLY</t>
  </si>
  <si>
    <t>GRS</t>
  </si>
  <si>
    <t>Z087</t>
  </si>
  <si>
    <t>Y106</t>
  </si>
  <si>
    <t>J129</t>
  </si>
  <si>
    <t>H158</t>
  </si>
  <si>
    <t>F184</t>
  </si>
  <si>
    <t xml:space="preserve">5 powered mirrors reduced to 3, cycle3 </t>
  </si>
  <si>
    <t xml:space="preserve">pAg </t>
  </si>
  <si>
    <t>grism efficiency</t>
  </si>
  <si>
    <t>bandpass Im 0.7-2.0, GRS 1.35-1.95 w/ grism model</t>
  </si>
  <si>
    <t>CoroImg</t>
  </si>
  <si>
    <t>Coronagraph uses CCD, here is a CCD QE set of curves</t>
  </si>
  <si>
    <t>λ</t>
  </si>
  <si>
    <t>Mirror reflectivity (Au)</t>
  </si>
  <si>
    <t># mirrors coated with pAg</t>
  </si>
  <si>
    <t>Au</t>
  </si>
  <si>
    <t>ImC mirrors coated with Au, telescope with pAg</t>
  </si>
  <si>
    <t>I am using 31% linear.  This is</t>
  </si>
  <si>
    <t>0.096 Central Obscuration</t>
  </si>
  <si>
    <t>0.054 Strut Obscuration (6)</t>
  </si>
  <si>
    <t>0.150 Total Clear Aperture Obscuration</t>
  </si>
  <si>
    <t>Pupil Mask Breakdown, average for all fields, blocks additional:</t>
  </si>
  <si>
    <t>0.011 Central Disc</t>
  </si>
  <si>
    <t>0.034 Struts</t>
  </si>
  <si>
    <t>0.035 Outer Ring</t>
  </si>
  <si>
    <t>0.080 Total Pupil Mask Loss (Average)</t>
  </si>
  <si>
    <t>The above includes 2 mils of oversize  There is an additional 0.032 Increase per mil of position tolerance.</t>
  </si>
  <si>
    <t>B Pasquale notes</t>
  </si>
  <si>
    <t>IFU</t>
  </si>
  <si>
    <t>renamed Sn Spec to IFU</t>
  </si>
  <si>
    <t>deleted outdated tab auxFGS</t>
  </si>
  <si>
    <t>copied from wfilter_filters_140518.xls tab wfirst cycle4 filters 2</t>
  </si>
  <si>
    <t>http://coolcosmos.ipac.caltech.edu/cosmic_classroom/ir_tutorial/irwindows.html</t>
  </si>
  <si>
    <t>pupil mask loss</t>
  </si>
  <si>
    <t>sorted alphabetically for Excel searching</t>
  </si>
  <si>
    <t>column</t>
  </si>
  <si>
    <t>grism efficiency squared for 2 diffractive surfaces</t>
  </si>
  <si>
    <t>drop from .6-1.0um is consistent with Exelis data but we probably want to look up QSS curves for enhanced silver also.</t>
  </si>
  <si>
    <t>updating mirror count for IFU - all protected silver</t>
  </si>
  <si>
    <t>refractive element in filter corrected to 0</t>
  </si>
  <si>
    <t>the refractive element is used for AR coatings OTHER THAN filters, all AR effects on a filter are included in the filter column.</t>
  </si>
  <si>
    <t>WFIRST interim design reference mission #1, renamed from config 4c (4c2 OR 4c3 or derivatives of these); changes from version of May -- 1 less ImC, ImC/SN prism fold mirror; 1 less lens in SpC; smaller mask losses</t>
  </si>
  <si>
    <t>#</t>
  </si>
  <si>
    <t>center</t>
  </si>
  <si>
    <t>width</t>
  </si>
  <si>
    <t>Overlap</t>
  </si>
  <si>
    <t>model:</t>
  </si>
  <si>
    <t>T= .50*T_max + b (lambda-lambda_50)</t>
  </si>
  <si>
    <t xml:space="preserve">goal -- </t>
  </si>
  <si>
    <t>T_max*(lambda_85-lambda_15)/lambda_50 = 0.03</t>
  </si>
  <si>
    <t>rewrite as</t>
  </si>
  <si>
    <r>
      <t>2 d</t>
    </r>
    <r>
      <rPr>
        <sz val="11"/>
        <color indexed="8"/>
        <rFont val="Calibri"/>
        <family val="2"/>
      </rPr>
      <t>λ = 0.03 lambda_50 * T_max</t>
    </r>
  </si>
  <si>
    <r>
      <t xml:space="preserve"> d</t>
    </r>
    <r>
      <rPr>
        <sz val="11"/>
        <color indexed="8"/>
        <rFont val="Calibri"/>
        <family val="2"/>
      </rPr>
      <t>λ = 0.015 lambda_50 * T_max</t>
    </r>
  </si>
  <si>
    <r>
      <t>.85T_max = .50T_max + b d</t>
    </r>
    <r>
      <rPr>
        <sz val="11"/>
        <color indexed="8"/>
        <rFont val="Calibri"/>
        <family val="2"/>
      </rPr>
      <t>λ</t>
    </r>
  </si>
  <si>
    <t>Tmin</t>
  </si>
  <si>
    <r>
      <t>.35T_max/d</t>
    </r>
    <r>
      <rPr>
        <sz val="11"/>
        <color indexed="8"/>
        <rFont val="Calibri"/>
        <family val="2"/>
      </rPr>
      <t>λ = b</t>
    </r>
  </si>
  <si>
    <t>Tmax</t>
  </si>
  <si>
    <t>.35/.015/lambda_50*Tmax = b</t>
  </si>
  <si>
    <t xml:space="preserve">b = 1/lambda_50 * </t>
  </si>
  <si>
    <r>
      <t>d</t>
    </r>
    <r>
      <rPr>
        <sz val="11"/>
        <color indexed="8"/>
        <rFont val="Calibri"/>
        <family val="2"/>
      </rPr>
      <t>λ</t>
    </r>
  </si>
  <si>
    <t>Finally</t>
  </si>
  <si>
    <r>
      <t>T = 0.50 + 23.33333 * (</t>
    </r>
    <r>
      <rPr>
        <sz val="11"/>
        <color indexed="8"/>
        <rFont val="Calibri"/>
        <family val="2"/>
      </rPr>
      <t>λ-λ_50)/λ_50</t>
    </r>
  </si>
  <si>
    <t>subject to 0 &lt;= T &lt;= 0.95</t>
  </si>
  <si>
    <t>λ_50</t>
  </si>
  <si>
    <t>Transmission model of filters</t>
  </si>
  <si>
    <t>W149</t>
  </si>
  <si>
    <t>later versions explore the use of some or mostly gold coated mirrors but the June2011 interim drm report will not mention this.</t>
  </si>
  <si>
    <t>I am adding a filtered Aeff plot, see 'SDT4 filter model' tab</t>
  </si>
  <si>
    <t>Aeff</t>
  </si>
  <si>
    <t>2011.6.22 new data from E. Cheng; derate by 5% absolute to account for internal QE</t>
  </si>
  <si>
    <t>AR</t>
  </si>
  <si>
    <t>QE</t>
  </si>
  <si>
    <t>old QE</t>
  </si>
  <si>
    <t>Wave</t>
  </si>
  <si>
    <t>average 0.6-2.0</t>
  </si>
  <si>
    <t>Qe model</t>
  </si>
  <si>
    <t>2 surfaces</t>
  </si>
  <si>
    <t>date</t>
  </si>
  <si>
    <t>comment</t>
  </si>
  <si>
    <t xml:space="preserve">no changes in assumptions, but configuration change from WIDRM1 to single channel; </t>
  </si>
  <si>
    <r>
      <t>ite model QE=m</t>
    </r>
    <r>
      <rPr>
        <sz val="10"/>
        <rFont val="Calibri"/>
        <family val="2"/>
      </rPr>
      <t>λ</t>
    </r>
    <r>
      <rPr>
        <sz val="10"/>
        <rFont val="Arial"/>
        <family val="2"/>
      </rPr>
      <t>+b</t>
    </r>
  </si>
  <si>
    <t>Modeled for the range of substrate index 2.8 and 3.0</t>
  </si>
  <si>
    <t>max qe scale factor</t>
  </si>
  <si>
    <t xml:space="preserve">max </t>
  </si>
  <si>
    <t>%T index = 3</t>
  </si>
  <si>
    <t>%R index = 3</t>
  </si>
  <si>
    <t>%T index = 2.8</t>
  </si>
  <si>
    <t>%R index = 2.8</t>
  </si>
  <si>
    <t>min of 2 AR T curves</t>
  </si>
  <si>
    <t>red cutoff</t>
  </si>
  <si>
    <t>blue cutoff</t>
  </si>
  <si>
    <t>ite</t>
  </si>
  <si>
    <t>2/12 QE</t>
  </si>
  <si>
    <t>2011 2.1 cutoff</t>
  </si>
  <si>
    <t>2011 QE model for 2.1 cutoff</t>
  </si>
  <si>
    <t>Wavelength, nm</t>
  </si>
  <si>
    <t>Wave, um</t>
  </si>
  <si>
    <t>summary</t>
  </si>
  <si>
    <t>Mode</t>
  </si>
  <si>
    <t>ImC</t>
  </si>
  <si>
    <t>bandpass blue edge</t>
  </si>
  <si>
    <t>units</t>
  </si>
  <si>
    <t>bandpass red edge</t>
  </si>
  <si>
    <t>Average Aeff</t>
  </si>
  <si>
    <t>min Aeff</t>
  </si>
  <si>
    <t>max Aeff</t>
  </si>
  <si>
    <r>
      <t>m</t>
    </r>
    <r>
      <rPr>
        <vertAlign val="superscript"/>
        <sz val="10"/>
        <rFont val="Times New Roman"/>
        <family val="1"/>
      </rPr>
      <t>2</t>
    </r>
  </si>
  <si>
    <t>initial release, revised from DRM2_throughput_120330</t>
  </si>
  <si>
    <t xml:space="preserve"> ImC </t>
  </si>
  <si>
    <t>it is NOT yet known if 2.4um can be accommodated with this telescope; using 2.0 optical cutoff NOTIONALLY</t>
  </si>
  <si>
    <t>incidence angle</t>
  </si>
  <si>
    <t>alpha</t>
  </si>
  <si>
    <t>deg</t>
  </si>
  <si>
    <t>K</t>
  </si>
  <si>
    <t>a</t>
  </si>
  <si>
    <t>nominal blaze angle</t>
  </si>
  <si>
    <t>phi_0</t>
  </si>
  <si>
    <t>x0</t>
  </si>
  <si>
    <t>b</t>
  </si>
  <si>
    <t>prism apex angle</t>
  </si>
  <si>
    <t>gamma</t>
  </si>
  <si>
    <t>c</t>
  </si>
  <si>
    <t>delta wavelength</t>
  </si>
  <si>
    <t>absolute efficiencies</t>
  </si>
  <si>
    <t>r</t>
  </si>
  <si>
    <t>reflected energy</t>
  </si>
  <si>
    <t>wavelengths (um)</t>
  </si>
  <si>
    <t>Dn = norm. wave</t>
  </si>
  <si>
    <t>E1 meas.</t>
  </si>
  <si>
    <t>chi^2</t>
  </si>
  <si>
    <t>Esum+R</t>
  </si>
  <si>
    <t>Esum</t>
  </si>
  <si>
    <t>k</t>
  </si>
  <si>
    <t>alpha r</t>
  </si>
  <si>
    <t>n OG550</t>
  </si>
  <si>
    <t>Nresin</t>
  </si>
  <si>
    <t>T BK7</t>
  </si>
  <si>
    <t>i</t>
  </si>
  <si>
    <t>i og550</t>
  </si>
  <si>
    <t>alpha og550</t>
  </si>
  <si>
    <t>alpha resin</t>
  </si>
  <si>
    <t>beta</t>
  </si>
  <si>
    <t>old Nresin</t>
  </si>
  <si>
    <t>E-1 std resin</t>
  </si>
  <si>
    <t>high orders</t>
  </si>
  <si>
    <t>merit fn</t>
  </si>
  <si>
    <t>Notes:</t>
  </si>
  <si>
    <t>1. Efficiency vs wavelength is calculated from the following formula, where K=2pi*n, k=2pi/lambda, n2=nresin, n1=air or vacuum=1:</t>
  </si>
  <si>
    <t>eta_m = (f factor from cell D3)*(internal transmittance of OG550 glass)/(G*d)^2*(1-cos(G x0))</t>
  </si>
  <si>
    <t>(I.e. the overall theoretical efficiency is scaled by the internal transmittance of the glass and by a 'fudge factor' which enables fitting to experimental data, see cell D3)</t>
  </si>
  <si>
    <t>where</t>
  </si>
  <si>
    <t xml:space="preserve">x0 = position of groove apex, for an assumed right triangle grooveshape, x0 = d*cos(phi)^2, phi=groove angle. </t>
  </si>
  <si>
    <t>G = mK + (kn1cos(alpha)-(k^2*n2^2-(k*n1*sin(alpha) + mK)^2)^0.5)*tan(phi)</t>
  </si>
  <si>
    <t>where alpha is incidence angle, m is order number (integer)</t>
  </si>
  <si>
    <t>This equation follows from the assumption of a right triangle grooveshape and the neglect of the small back facet portion in</t>
  </si>
  <si>
    <t>integrating Popov et al, Opt.Comm 1991, p.308, Eq 9.</t>
  </si>
  <si>
    <t>2. Indices for OG550 are from GSFC measurements 2/97; Indices for resin are from 'normal' resin curve from RGL.</t>
  </si>
  <si>
    <t>3. Transmission for Og550 is from GSFC measurement of typical Og550 material</t>
  </si>
  <si>
    <t>4. Indices for the "standard" and "new UV" resins are now calculated using fits to Cauchy dispersion formula; new UV resin based on simple offset from old UV resin until more accurate data is available</t>
  </si>
  <si>
    <t>new qe model</t>
  </si>
  <si>
    <t>wavelength (um)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</si>
  <si>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</si>
  <si>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</si>
  <si>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</si>
  <si>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</si>
  <si>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</si>
  <si>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</si>
  <si>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</si>
  <si>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</si>
  <si>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</si>
  <si>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</si>
  <si>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name</t>
  </si>
  <si>
    <t>VISI</t>
  </si>
  <si>
    <t>VISI, NIRI</t>
  </si>
  <si>
    <t>NOTE - these are EXAMPLE filters and not a required list or the only possible filters - filter wheel population is likely to be left up to AO responses</t>
  </si>
  <si>
    <t>.995 * smoothed</t>
  </si>
  <si>
    <t>ITT smoothed {*.995}</t>
  </si>
  <si>
    <t>actual filter data for WF3 F125W at cut on</t>
  </si>
  <si>
    <t>Contami-nation loss</t>
  </si>
  <si>
    <t>wavelength shift, um</t>
  </si>
  <si>
    <t>Wavelength</t>
  </si>
  <si>
    <t>R</t>
  </si>
  <si>
    <t>peak</t>
  </si>
  <si>
    <t>--&gt;</t>
  </si>
  <si>
    <t>Dichroic</t>
  </si>
  <si>
    <t>Dichroic T/R, #</t>
  </si>
  <si>
    <t xml:space="preserve"> Optical  Through-put</t>
  </si>
  <si>
    <t>NIRI T</t>
  </si>
  <si>
    <t>NIRI example, T per surface</t>
  </si>
  <si>
    <t xml:space="preserve">R  </t>
  </si>
  <si>
    <t># refractive elements (lens/prism)</t>
  </si>
  <si>
    <t>Bandpass filter trans-mission</t>
  </si>
  <si>
    <t>sum</t>
  </si>
  <si>
    <t>reexamining spider area and pupil mask loss</t>
  </si>
  <si>
    <t>these were 0.062 and 0.010</t>
  </si>
  <si>
    <t>0.062, when we had a 40% linear obscuration and 0.75m radius, amounts to 60.1mm wide spider - seems more than necessar to me. Use 30mm</t>
  </si>
  <si>
    <t>30mm and 50% linear obscuration means the spider adds only 0.0255 fractional blockage</t>
  </si>
  <si>
    <t>Formula for fraction area blocked by 4 vane spider beyond linear obscuration of e by w-width spider is f_A = 4 W (1-e)/(pi R)</t>
  </si>
  <si>
    <t>pupil mask - experimentally found, for 090618MGDB-nirvi9-goodapertures.zmx that 1.8mm (1.7=demagnified from 85mm pupil with respect to 30mm wide vanes) spider does ok and 41.75mm inner radius likewise</t>
  </si>
  <si>
    <t>result is additional blockage of 8.4%</t>
  </si>
  <si>
    <t>wave</t>
  </si>
  <si>
    <t>qe</t>
  </si>
  <si>
    <t>2.5um cutoff</t>
  </si>
  <si>
    <t>[where width is w, f_a is fractional area blocked by vanes, R is radius of PM, e is linear obscuration]</t>
  </si>
  <si>
    <t>found math error - old versions of this spreadsheet will still have this wrong - combining area blockage should be done as (1-blockage1-blockage2) rather than (1-blockage1)*(1-blockage2)</t>
  </si>
  <si>
    <t>scalar grism efficiency modelling</t>
  </si>
  <si>
    <t>created 10/5/93</t>
  </si>
  <si>
    <t>Dec98</t>
  </si>
  <si>
    <t>DAC</t>
  </si>
  <si>
    <t>Cauchy formula for refractive index:</t>
  </si>
  <si>
    <t>n = a + b/lambda^2 + c/lambda^4</t>
  </si>
  <si>
    <t>grating f factor</t>
  </si>
  <si>
    <t>f</t>
  </si>
  <si>
    <t>grating density</t>
  </si>
  <si>
    <t>/um</t>
  </si>
  <si>
    <t>Cauchy coeff's;</t>
  </si>
  <si>
    <t>New UV resin</t>
  </si>
  <si>
    <t>standard resin</t>
  </si>
  <si>
    <t>relative bandwidth = (spread of wavelengths)/(central wavelength), e.g. 1-2 microns = 1/1.5 = 0.67</t>
  </si>
  <si>
    <t>reference design is one for 1.3-2.0 um taken from Shanbhogue et al, but 'derated' 50% as this is a theoretical calculation</t>
  </si>
  <si>
    <t>Actual NIRCAM results are used to fit the scaling of how this degrades for wider bandpasses</t>
  </si>
  <si>
    <t>Then this scaling is used to 'amplify' the AR losses from the Shanbhogue curve to the actual bandpass</t>
  </si>
  <si>
    <t>Note that this model will fail as you get very broad, e.g. no simple AR coating will work 0.5-2um!!</t>
  </si>
  <si>
    <t>Each refractive element loses twice the AR/surface model as it's assumed all elements are air-spaced</t>
  </si>
  <si>
    <t>total mirror reflectivity = reflectivity^N where N is the # of mirrors (including powered and fold mirrors or pickoff mirrors)</t>
  </si>
  <si>
    <t>total transmission is AR model^(2* N_refractive) where N_refractive is total prisms, windows, and lenses</t>
  </si>
  <si>
    <t>contamination is (for now) flat with an entry value, included only in effective area calc, not in transmission or reflectivity calculation</t>
  </si>
  <si>
    <t>input cells are highlighted in yellow</t>
  </si>
  <si>
    <t>pAg model</t>
  </si>
  <si>
    <t>area fraction lost to pupil mask</t>
  </si>
  <si>
    <t>area fraction lost to SM vanes</t>
  </si>
  <si>
    <t>illuminatated aperture</t>
  </si>
  <si>
    <t>mirror geometric area</t>
  </si>
  <si>
    <t>configuration title:</t>
  </si>
  <si>
    <t>NIRI</t>
  </si>
  <si>
    <t>NIRS</t>
  </si>
  <si>
    <t># refractive elements (lens/prism/dichroic))</t>
  </si>
  <si>
    <t>order</t>
  </si>
  <si>
    <t>coeff</t>
  </si>
  <si>
    <t>channel</t>
  </si>
  <si>
    <t>n/a</t>
  </si>
  <si>
    <t>nm</t>
  </si>
  <si>
    <t>assumed max bandpass efficiency</t>
  </si>
  <si>
    <t>fraction width of bandpass, R</t>
  </si>
  <si>
    <t>bandpass filters are now includable, omit by putting "n/a" in central wavelength box, control with R=central/range and peak transmission</t>
  </si>
  <si>
    <t>actual data is measured at GSFC for a GOES scan mirror witness sample, from M. Quijada</t>
  </si>
  <si>
    <t>no dichroic shown here yet, will hunt down representative data &amp; add it in.</t>
  </si>
  <si>
    <t>(nm)</t>
  </si>
  <si>
    <t>Wavelengths</t>
  </si>
  <si>
    <t>Mid</t>
  </si>
  <si>
    <t>range</t>
  </si>
  <si>
    <t xml:space="preserve">R </t>
  </si>
  <si>
    <t>used for shape</t>
  </si>
  <si>
    <t>n</t>
  </si>
  <si>
    <t>y</t>
  </si>
  <si>
    <t>Filter Wavelengths</t>
  </si>
  <si>
    <t>W# for Weak Lensing filter, S# for SNe filters</t>
  </si>
  <si>
    <t>W0</t>
  </si>
  <si>
    <t>W1</t>
  </si>
  <si>
    <t>W2</t>
  </si>
  <si>
    <t>W3</t>
  </si>
  <si>
    <t>W4</t>
  </si>
  <si>
    <t>W5</t>
  </si>
  <si>
    <t>W6</t>
  </si>
  <si>
    <t>W7</t>
  </si>
  <si>
    <t>1.2-2</t>
  </si>
  <si>
    <t>1.1-2</t>
  </si>
  <si>
    <t>AR perf. Avg.</t>
  </si>
  <si>
    <t>ratio (1.1-2)/(1.3-2)</t>
  </si>
  <si>
    <t>ratio (1.2-2)/(1.3-2)</t>
  </si>
  <si>
    <t>Bandpass</t>
  </si>
  <si>
    <t>Estimate of throughput hit for extended blue bandpass</t>
  </si>
  <si>
    <t>bandctr</t>
  </si>
  <si>
    <t>bandwidth</t>
  </si>
  <si>
    <t>rel bandwidth</t>
  </si>
  <si>
    <t>loss/surface</t>
  </si>
  <si>
    <t>baseline</t>
  </si>
  <si>
    <t>1.0-2</t>
  </si>
  <si>
    <t>loss model</t>
  </si>
  <si>
    <t>model error</t>
  </si>
  <si>
    <t>S. model 1.1-2</t>
  </si>
  <si>
    <t>S. model 1.2-2</t>
  </si>
  <si>
    <t>NIRCAM LiF</t>
  </si>
  <si>
    <t>NIRCAM BaF2</t>
  </si>
  <si>
    <t>NIRCAM ZnSe</t>
  </si>
  <si>
    <t># surfaces w/ AR coating</t>
  </si>
  <si>
    <t>imager</t>
  </si>
  <si>
    <t>spectrometer</t>
  </si>
  <si>
    <t>S</t>
  </si>
  <si>
    <t>I</t>
  </si>
  <si>
    <t>S/S_base</t>
  </si>
  <si>
    <t>I/Ibase</t>
  </si>
  <si>
    <t>AR coating performance comparison</t>
  </si>
  <si>
    <t>trendline</t>
  </si>
  <si>
    <t>term</t>
  </si>
  <si>
    <t>value</t>
  </si>
  <si>
    <t xml:space="preserve">idea for AR coating to taper extended blue </t>
  </si>
  <si>
    <t>1. leave L3, DW coatings alone -- ghost related, just make 'best' over whole bandpass with flat goal</t>
  </si>
  <si>
    <t>2. take the 1st 2 lenses, 4 AR coatings, and vary the shift of the bandpass to try to create a tapering effect</t>
  </si>
  <si>
    <t>MellesGriot protected silver</t>
  </si>
  <si>
    <t>MellesGriot protected gold pAu</t>
  </si>
  <si>
    <t>pAg</t>
  </si>
  <si>
    <t>wikipedia</t>
  </si>
  <si>
    <t>pAu</t>
  </si>
  <si>
    <t>Effective Area Analysis</t>
  </si>
  <si>
    <t>Min wavelength</t>
  </si>
  <si>
    <t>Max wavelength</t>
  </si>
  <si>
    <t>wavelength spacing</t>
  </si>
  <si>
    <t># mirrors</t>
  </si>
  <si>
    <t>Mirror diameter</t>
  </si>
  <si>
    <t>linear obscuration ratio (HST=0.33)</t>
  </si>
  <si>
    <t xml:space="preserve">Rel. bandpass </t>
  </si>
  <si>
    <t>Contamination loss at EOL</t>
  </si>
  <si>
    <t>relative wavelength</t>
  </si>
  <si>
    <t>rel bandpass for standard model</t>
  </si>
  <si>
    <t>Aeff  (m^2)</t>
  </si>
  <si>
    <t>Area (m^2)</t>
  </si>
  <si>
    <t>rel wave {for AR model}</t>
  </si>
  <si>
    <t>m</t>
  </si>
  <si>
    <t>combined reflectivity of mirrors</t>
  </si>
  <si>
    <t>combined transmission of lenses &amp; prisms</t>
  </si>
  <si>
    <t>mirror coatings are "pAg" for protected silver and "pAu" for protected gold, others could be added, e.g. AlMgF2</t>
  </si>
  <si>
    <t>pAg reflectivity varies significantly depending on vendor and reference, picked something fairly simple &amp; representative, other vendors would be different - see examples on pAg page</t>
  </si>
  <si>
    <t>AR == antireflective coating, assumptions include:</t>
  </si>
  <si>
    <t>model fit to a few examples shows that (roughly) the overall performance across the band degrades linearly as the relative bandwidth increases</t>
  </si>
  <si>
    <t>wave number</t>
  </si>
  <si>
    <t>/cm</t>
  </si>
  <si>
    <t>wavelength</t>
  </si>
  <si>
    <t>um</t>
  </si>
  <si>
    <t>D. Content</t>
  </si>
  <si>
    <t>average</t>
  </si>
  <si>
    <t>min</t>
  </si>
  <si>
    <t>max</t>
  </si>
  <si>
    <t>notes</t>
  </si>
  <si>
    <t>simulated AR coating for ADEPT</t>
  </si>
  <si>
    <t>avg</t>
  </si>
  <si>
    <t>detector QE</t>
  </si>
  <si>
    <t>m^2</t>
  </si>
  <si>
    <t>LiF</t>
  </si>
  <si>
    <t>ZnSe</t>
  </si>
  <si>
    <t>BaF2</t>
  </si>
  <si>
    <t>dummy bandpass filter detailed transmission</t>
  </si>
  <si>
    <t>wave-length (um)</t>
  </si>
  <si>
    <t>T band-pass filter</t>
  </si>
  <si>
    <t>note - this is per lens (2 surfaces)</t>
  </si>
  <si>
    <t>avg 1.3-2</t>
  </si>
  <si>
    <t>Shanbhogue data</t>
  </si>
  <si>
    <t>this shows up to ~1% lower transmission in expt vs. theory</t>
  </si>
  <si>
    <t>delta</t>
  </si>
  <si>
    <t>T</t>
  </si>
  <si>
    <t>derated 50%</t>
  </si>
  <si>
    <t>derated, shifted .1 um</t>
  </si>
  <si>
    <t>Shanbhogue loss per surface, derated 50%, shifted 0.1um</t>
  </si>
  <si>
    <t>T per lens ad hoc model</t>
  </si>
  <si>
    <t>T per surface ad hoc model</t>
  </si>
  <si>
    <t>Melles Griot Catalog</t>
  </si>
  <si>
    <t>linear</t>
  </si>
  <si>
    <t>slope</t>
  </si>
  <si>
    <t>I found this coating, which was designed for 1.2-1.9um, and shifted it 0.1 um. The data is theoretical, but another curve (see below) gives experimental data agreeing to &lt;= 1%</t>
  </si>
  <si>
    <t>So I 'derated' (made worse) the theoretical curve, so that the maximum deviation is ~1%; the resulting curve is then traceable to experiment and not optimistic; this is used as of 08Jan10</t>
  </si>
  <si>
    <t>note - 08Jan10</t>
  </si>
  <si>
    <t>all lenses use the same AR coating; in practice results would vary a bit by glass type</t>
  </si>
  <si>
    <t>Lens Antireflection coating transmission, per surface</t>
  </si>
  <si>
    <t>Shanbhogue et al thin Solid Films 320 1998</t>
  </si>
  <si>
    <t>*.</t>
  </si>
  <si>
    <t xml:space="preserve">RMS </t>
  </si>
  <si>
    <t>Material       Spectral band</t>
  </si>
  <si>
    <r>
      <t>(microns)</t>
    </r>
    <r>
      <rPr>
        <sz val="10"/>
        <rFont val="Times New Roman"/>
      </rPr>
      <t xml:space="preserve">       </t>
    </r>
    <r>
      <rPr>
        <sz val="10"/>
        <rFont val="Courier New"/>
        <family val="3"/>
      </rPr>
      <t>Requirement</t>
    </r>
  </si>
  <si>
    <t>(average</t>
  </si>
  <si>
    <t>R)</t>
  </si>
  <si>
    <t>(%)</t>
  </si>
  <si>
    <t>Measured</t>
  </si>
  <si>
    <t>result</t>
  </si>
  <si>
    <t>Lithium</t>
  </si>
  <si>
    <t>fluoride      </t>
  </si>
  <si>
    <t>-</t>
  </si>
  <si>
    <t>2.3      </t>
  </si>
  <si>
    <t>&lt;</t>
  </si>
  <si>
    <t>2.9  </t>
  </si>
  <si>
    <t>2.73  </t>
  </si>
  <si>
    <t>Barium</t>
  </si>
  <si>
    <t>fluoride</t>
  </si>
  <si>
    <t>2.53  </t>
  </si>
  <si>
    <t>Zinc</t>
  </si>
  <si>
    <t>selenide  </t>
  </si>
  <si>
    <t>0.85     </t>
  </si>
  <si>
    <t>6.7  </t>
  </si>
  <si>
    <t>2.66  </t>
  </si>
  <si>
    <t>3.5 </t>
  </si>
  <si>
    <t>2.75  </t>
  </si>
  <si>
    <t>material</t>
  </si>
  <si>
    <t>Band (um)</t>
  </si>
  <si>
    <t>0.6-2.3</t>
  </si>
  <si>
    <t>0.9-2.3</t>
  </si>
  <si>
    <t>Requirement</t>
  </si>
  <si>
    <t>&lt;2.9</t>
  </si>
  <si>
    <t>.&lt;2.9</t>
  </si>
  <si>
    <t>&lt;3.5</t>
  </si>
  <si>
    <t>Performance</t>
  </si>
  <si>
    <t>NIRCAM required vs actual</t>
  </si>
  <si>
    <t>derated, not shifted</t>
  </si>
  <si>
    <t>derated, shifted -.05 um</t>
  </si>
  <si>
    <t>average 1.2-2</t>
  </si>
  <si>
    <t>average 1.1-2</t>
  </si>
  <si>
    <t>imaging % surfaces</t>
  </si>
  <si>
    <t>spectrum # surfaces</t>
  </si>
  <si>
    <t>baseline, 1.3-2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</si>
</sst>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68" formatCode="0.00E+00;\ᐸ"/>
  </numFmts>
  <fonts count="27">
    <font>
      <sz val="10"/>
      <name val="Times New Roman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Courier New"/>
      <family val="3"/>
    </font>
    <font>
      <sz val="12"/>
      <name val="Times New Roman"/>
      <family val="1"/>
    </font>
    <font>
      <sz val="10"/>
      <name val="Times New Roman"/>
    </font>
    <font>
      <sz val="14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9"/>
      <name val="Verdana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MS Sans Serif"/>
      <family val="2"/>
    </font>
    <font>
      <sz val="11"/>
      <color indexed="8"/>
      <name val="Calibri"/>
      <family val="2"/>
    </font>
    <font>
      <u/>
      <sz val="10"/>
      <name val="Times New Roman"/>
      <family val="1"/>
    </font>
    <font>
      <sz val="10"/>
      <name val="Calibri"/>
      <family val="2"/>
    </font>
    <font>
      <vertAlign val="superscript"/>
      <sz val="10"/>
      <name val="Times New Roman"/>
      <family val="1"/>
    </font>
    <font>
      <sz val="8.5"/>
      <name val="MS Sans Serif"/>
      <family val="2"/>
    </font>
    <font>
      <sz val="11"/>
      <name val="Calibri"/>
      <family val="2"/>
      <scheme val="minor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1" fillId="0" borderId="0"/>
    <xf numFmtId="0" fontId="17" fillId="0" borderId="0"/>
    <xf numFmtId="0" fontId="11" fillId="0" borderId="0"/>
    <xf numFmtId="0" fontId="3" fillId="0" borderId="0"/>
    <xf numFmtId="0" fontId="11" fillId="0" borderId="0"/>
    <xf numFmtId="0" fontId="1" fillId="0" borderId="0"/>
  </cellStyleXfs>
  <cellXfs count="221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166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8" xfId="0" applyNumberFormat="1" applyBorder="1"/>
    <xf numFmtId="167" fontId="0" fillId="0" borderId="0" xfId="0" applyNumberFormat="1"/>
    <xf numFmtId="15" fontId="0" fillId="0" borderId="0" xfId="0" applyNumberFormat="1"/>
    <xf numFmtId="0" fontId="5" fillId="0" borderId="0" xfId="0" applyFont="1"/>
    <xf numFmtId="0" fontId="0" fillId="0" borderId="0" xfId="0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center"/>
    </xf>
    <xf numFmtId="0" fontId="0" fillId="0" borderId="1" xfId="0" quotePrefix="1" applyBorder="1"/>
    <xf numFmtId="14" fontId="0" fillId="0" borderId="0" xfId="0" applyNumberFormat="1"/>
    <xf numFmtId="16" fontId="0" fillId="0" borderId="0" xfId="0" quotePrefix="1" applyNumberFormat="1"/>
    <xf numFmtId="0" fontId="9" fillId="0" borderId="0" xfId="0" applyFont="1"/>
    <xf numFmtId="166" fontId="0" fillId="0" borderId="6" xfId="0" applyNumberFormat="1" applyBorder="1"/>
    <xf numFmtId="165" fontId="0" fillId="0" borderId="6" xfId="0" applyNumberFormat="1" applyBorder="1"/>
    <xf numFmtId="164" fontId="5" fillId="0" borderId="0" xfId="0" applyNumberFormat="1" applyFont="1"/>
    <xf numFmtId="2" fontId="5" fillId="0" borderId="0" xfId="0" applyNumberFormat="1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166" fontId="0" fillId="0" borderId="0" xfId="0" applyNumberFormat="1" applyBorder="1"/>
    <xf numFmtId="165" fontId="0" fillId="0" borderId="0" xfId="0" applyNumberFormat="1" applyBorder="1"/>
    <xf numFmtId="165" fontId="0" fillId="0" borderId="9" xfId="0" applyNumberFormat="1" applyBorder="1"/>
    <xf numFmtId="15" fontId="0" fillId="0" borderId="0" xfId="0" applyNumberFormat="1" applyFill="1" applyBorder="1"/>
    <xf numFmtId="166" fontId="5" fillId="0" borderId="0" xfId="0" applyNumberFormat="1" applyFont="1"/>
    <xf numFmtId="167" fontId="5" fillId="0" borderId="0" xfId="0" applyNumberFormat="1" applyFont="1"/>
    <xf numFmtId="0" fontId="0" fillId="0" borderId="1" xfId="0" applyBorder="1" applyAlignment="1">
      <alignment wrapText="1"/>
    </xf>
    <xf numFmtId="165" fontId="0" fillId="0" borderId="1" xfId="0" applyNumberFormat="1" applyBorder="1"/>
    <xf numFmtId="166" fontId="0" fillId="0" borderId="0" xfId="0" applyNumberFormat="1" applyAlignment="1">
      <alignment wrapText="1"/>
    </xf>
    <xf numFmtId="167" fontId="0" fillId="2" borderId="0" xfId="0" applyNumberFormat="1" applyFill="1"/>
    <xf numFmtId="11" fontId="0" fillId="0" borderId="0" xfId="0" applyNumberFormat="1"/>
    <xf numFmtId="0" fontId="11" fillId="0" borderId="0" xfId="1"/>
    <xf numFmtId="0" fontId="11" fillId="0" borderId="1" xfId="1" applyBorder="1"/>
    <xf numFmtId="0" fontId="11" fillId="0" borderId="1" xfId="1" applyBorder="1" applyAlignment="1">
      <alignment horizontal="right"/>
    </xf>
    <xf numFmtId="0" fontId="11" fillId="0" borderId="10" xfId="1" applyFill="1" applyBorder="1" applyAlignment="1">
      <alignment horizontal="right"/>
    </xf>
    <xf numFmtId="2" fontId="11" fillId="0" borderId="1" xfId="1" applyNumberFormat="1" applyBorder="1"/>
    <xf numFmtId="0" fontId="11" fillId="0" borderId="0" xfId="1" applyFont="1"/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3" borderId="14" xfId="0" applyFont="1" applyFill="1" applyBorder="1" applyAlignment="1">
      <alignment horizontal="center" wrapText="1"/>
    </xf>
    <xf numFmtId="0" fontId="13" fillId="3" borderId="15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 wrapText="1"/>
    </xf>
    <xf numFmtId="0" fontId="13" fillId="3" borderId="0" xfId="0" applyFont="1" applyFill="1" applyBorder="1" applyAlignment="1">
      <alignment horizontal="center" wrapText="1"/>
    </xf>
    <xf numFmtId="0" fontId="11" fillId="0" borderId="0" xfId="1" applyBorder="1"/>
    <xf numFmtId="166" fontId="13" fillId="0" borderId="0" xfId="0" applyNumberFormat="1" applyFont="1" applyFill="1" applyBorder="1" applyAlignment="1">
      <alignment horizontal="right" wrapText="1"/>
    </xf>
    <xf numFmtId="0" fontId="11" fillId="0" borderId="0" xfId="1" applyBorder="1" applyAlignment="1">
      <alignment horizontal="right"/>
    </xf>
    <xf numFmtId="0" fontId="11" fillId="0" borderId="0" xfId="1" applyFont="1" applyBorder="1"/>
    <xf numFmtId="0" fontId="11" fillId="0" borderId="0" xfId="1" applyFont="1" applyBorder="1" applyAlignment="1">
      <alignment horizontal="center"/>
    </xf>
    <xf numFmtId="2" fontId="11" fillId="0" borderId="0" xfId="1" applyNumberFormat="1" applyBorder="1" applyAlignment="1">
      <alignment horizontal="right"/>
    </xf>
    <xf numFmtId="0" fontId="11" fillId="0" borderId="0" xfId="1" applyFill="1" applyBorder="1" applyAlignment="1">
      <alignment horizontal="center"/>
    </xf>
    <xf numFmtId="0" fontId="13" fillId="0" borderId="0" xfId="0" applyFont="1" applyBorder="1" applyAlignment="1">
      <alignment horizontal="right" wrapText="1"/>
    </xf>
    <xf numFmtId="166" fontId="11" fillId="0" borderId="0" xfId="1" applyNumberFormat="1" applyBorder="1" applyAlignment="1">
      <alignment horizontal="right"/>
    </xf>
    <xf numFmtId="0" fontId="11" fillId="0" borderId="0" xfId="1" applyBorder="1" applyAlignment="1">
      <alignment horizontal="center"/>
    </xf>
    <xf numFmtId="0" fontId="0" fillId="0" borderId="0" xfId="0" applyFill="1"/>
    <xf numFmtId="0" fontId="0" fillId="4" borderId="0" xfId="0" applyFill="1"/>
    <xf numFmtId="0" fontId="5" fillId="0" borderId="0" xfId="0" applyFont="1" applyFill="1"/>
    <xf numFmtId="0" fontId="5" fillId="4" borderId="0" xfId="0" applyFont="1" applyFill="1"/>
    <xf numFmtId="0" fontId="7" fillId="0" borderId="16" xfId="0" applyFont="1" applyFill="1" applyBorder="1" applyAlignment="1">
      <alignment wrapText="1"/>
    </xf>
    <xf numFmtId="166" fontId="7" fillId="0" borderId="16" xfId="0" applyNumberFormat="1" applyFont="1" applyFill="1" applyBorder="1" applyAlignment="1">
      <alignment wrapText="1"/>
    </xf>
    <xf numFmtId="0" fontId="14" fillId="0" borderId="17" xfId="0" applyFont="1" applyBorder="1" applyAlignment="1"/>
    <xf numFmtId="166" fontId="7" fillId="0" borderId="17" xfId="0" applyNumberFormat="1" applyFont="1" applyFill="1" applyBorder="1" applyAlignment="1">
      <alignment horizontal="center"/>
    </xf>
    <xf numFmtId="0" fontId="14" fillId="0" borderId="1" xfId="0" applyFont="1" applyBorder="1" applyAlignment="1"/>
    <xf numFmtId="166" fontId="7" fillId="0" borderId="1" xfId="0" applyNumberFormat="1" applyFont="1" applyFill="1" applyBorder="1" applyAlignment="1">
      <alignment horizontal="center"/>
    </xf>
    <xf numFmtId="0" fontId="8" fillId="0" borderId="18" xfId="0" applyFont="1" applyFill="1" applyBorder="1" applyAlignment="1">
      <alignment wrapText="1"/>
    </xf>
    <xf numFmtId="0" fontId="8" fillId="0" borderId="19" xfId="0" applyFont="1" applyFill="1" applyBorder="1" applyAlignment="1">
      <alignment wrapText="1"/>
    </xf>
    <xf numFmtId="0" fontId="8" fillId="0" borderId="20" xfId="0" applyFont="1" applyFill="1" applyBorder="1" applyAlignment="1">
      <alignment wrapText="1"/>
    </xf>
    <xf numFmtId="166" fontId="7" fillId="0" borderId="17" xfId="0" applyNumberFormat="1" applyFont="1" applyFill="1" applyBorder="1" applyAlignment="1">
      <alignment wrapText="1"/>
    </xf>
    <xf numFmtId="0" fontId="7" fillId="0" borderId="17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6" fillId="5" borderId="21" xfId="0" applyFont="1" applyFill="1" applyBorder="1"/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16" fillId="5" borderId="22" xfId="0" applyFont="1" applyFill="1" applyBorder="1"/>
    <xf numFmtId="165" fontId="15" fillId="0" borderId="0" xfId="0" applyNumberFormat="1" applyFont="1"/>
    <xf numFmtId="0" fontId="15" fillId="0" borderId="0" xfId="0" applyFont="1" applyAlignment="1"/>
    <xf numFmtId="0" fontId="16" fillId="5" borderId="22" xfId="0" applyFont="1" applyFill="1" applyBorder="1" applyAlignment="1">
      <alignment horizontal="right"/>
    </xf>
    <xf numFmtId="0" fontId="15" fillId="5" borderId="22" xfId="0" applyFont="1" applyFill="1" applyBorder="1"/>
    <xf numFmtId="0" fontId="16" fillId="5" borderId="23" xfId="0" applyFont="1" applyFill="1" applyBorder="1"/>
    <xf numFmtId="166" fontId="15" fillId="0" borderId="0" xfId="0" applyNumberFormat="1" applyFont="1"/>
    <xf numFmtId="0" fontId="16" fillId="0" borderId="0" xfId="0" applyFont="1" applyFill="1" applyBorder="1"/>
    <xf numFmtId="0" fontId="15" fillId="5" borderId="0" xfId="0" applyFont="1" applyFill="1"/>
    <xf numFmtId="0" fontId="15" fillId="0" borderId="0" xfId="0" applyFont="1" applyAlignment="1">
      <alignment horizontal="center"/>
    </xf>
    <xf numFmtId="165" fontId="16" fillId="5" borderId="22" xfId="0" applyNumberFormat="1" applyFont="1" applyFill="1" applyBorder="1"/>
    <xf numFmtId="0" fontId="17" fillId="0" borderId="0" xfId="2"/>
    <xf numFmtId="14" fontId="17" fillId="0" borderId="0" xfId="2" quotePrefix="1" applyNumberFormat="1"/>
    <xf numFmtId="0" fontId="17" fillId="0" borderId="0" xfId="2" quotePrefix="1"/>
    <xf numFmtId="2" fontId="17" fillId="0" borderId="0" xfId="2" applyNumberFormat="1"/>
    <xf numFmtId="165" fontId="17" fillId="0" borderId="0" xfId="2" applyNumberFormat="1"/>
    <xf numFmtId="0" fontId="17" fillId="0" borderId="0" xfId="2" applyAlignment="1">
      <alignment wrapText="1"/>
    </xf>
    <xf numFmtId="165" fontId="17" fillId="0" borderId="0" xfId="2" applyNumberFormat="1" applyAlignment="1">
      <alignment wrapText="1"/>
    </xf>
    <xf numFmtId="164" fontId="17" fillId="0" borderId="0" xfId="2" applyNumberFormat="1"/>
    <xf numFmtId="165" fontId="17" fillId="0" borderId="0" xfId="2" applyNumberFormat="1" applyAlignment="1">
      <alignment horizontal="center"/>
    </xf>
    <xf numFmtId="168" fontId="17" fillId="0" borderId="0" xfId="2" applyNumberFormat="1" applyAlignment="1">
      <alignment horizontal="center" wrapText="1"/>
    </xf>
    <xf numFmtId="165" fontId="17" fillId="0" borderId="0" xfId="2" applyNumberFormat="1" applyAlignment="1">
      <alignment horizontal="center" wrapText="1"/>
    </xf>
    <xf numFmtId="168" fontId="17" fillId="0" borderId="0" xfId="2" applyNumberFormat="1" applyAlignment="1">
      <alignment horizontal="center"/>
    </xf>
    <xf numFmtId="166" fontId="17" fillId="0" borderId="0" xfId="2" applyNumberFormat="1"/>
    <xf numFmtId="0" fontId="18" fillId="0" borderId="0" xfId="2" applyFont="1" applyAlignment="1">
      <alignment horizontal="center"/>
    </xf>
    <xf numFmtId="167" fontId="17" fillId="0" borderId="0" xfId="2" applyNumberFormat="1" applyAlignment="1">
      <alignment horizontal="center"/>
    </xf>
    <xf numFmtId="0" fontId="11" fillId="0" borderId="0" xfId="3"/>
    <xf numFmtId="166" fontId="17" fillId="0" borderId="0" xfId="2" applyNumberFormat="1" applyAlignment="1">
      <alignment wrapText="1"/>
    </xf>
    <xf numFmtId="0" fontId="19" fillId="0" borderId="0" xfId="2" applyFont="1"/>
    <xf numFmtId="165" fontId="19" fillId="0" borderId="0" xfId="2" applyNumberFormat="1" applyFont="1"/>
    <xf numFmtId="0" fontId="16" fillId="5" borderId="22" xfId="0" quotePrefix="1" applyFont="1" applyFill="1" applyBorder="1" applyAlignment="1">
      <alignment horizontal="center"/>
    </xf>
    <xf numFmtId="0" fontId="16" fillId="5" borderId="23" xfId="0" applyFont="1" applyFill="1" applyBorder="1" applyAlignment="1">
      <alignment horizontal="center"/>
    </xf>
    <xf numFmtId="0" fontId="16" fillId="6" borderId="0" xfId="0" applyFont="1" applyFill="1" applyBorder="1"/>
    <xf numFmtId="0" fontId="16" fillId="6" borderId="0" xfId="0" applyFont="1" applyFill="1" applyBorder="1" applyAlignment="1">
      <alignment horizontal="right"/>
    </xf>
    <xf numFmtId="0" fontId="15" fillId="6" borderId="0" xfId="0" applyFont="1" applyFill="1" applyBorder="1"/>
    <xf numFmtId="166" fontId="16" fillId="5" borderId="23" xfId="0" applyNumberFormat="1" applyFont="1" applyFill="1" applyBorder="1"/>
    <xf numFmtId="166" fontId="16" fillId="0" borderId="0" xfId="0" applyNumberFormat="1" applyFont="1" applyFill="1" applyBorder="1"/>
    <xf numFmtId="0" fontId="8" fillId="0" borderId="0" xfId="0" applyFont="1"/>
    <xf numFmtId="0" fontId="21" fillId="0" borderId="0" xfId="0" applyFont="1"/>
    <xf numFmtId="0" fontId="15" fillId="0" borderId="0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1" fillId="0" borderId="0" xfId="5"/>
    <xf numFmtId="0" fontId="11" fillId="0" borderId="0" xfId="5" applyFont="1"/>
    <xf numFmtId="0" fontId="11" fillId="7" borderId="0" xfId="5" applyFill="1"/>
    <xf numFmtId="165" fontId="11" fillId="7" borderId="0" xfId="5" applyNumberFormat="1" applyFill="1"/>
    <xf numFmtId="0" fontId="11" fillId="0" borderId="0" xfId="5" applyAlignment="1">
      <alignment wrapText="1"/>
    </xf>
    <xf numFmtId="0" fontId="11" fillId="0" borderId="0" xfId="5" applyFont="1" applyAlignment="1">
      <alignment wrapText="1"/>
    </xf>
    <xf numFmtId="0" fontId="11" fillId="7" borderId="0" xfId="5" applyFont="1" applyFill="1" applyAlignment="1">
      <alignment wrapText="1"/>
    </xf>
    <xf numFmtId="165" fontId="11" fillId="0" borderId="0" xfId="5" applyNumberFormat="1"/>
    <xf numFmtId="166" fontId="11" fillId="7" borderId="0" xfId="5" applyNumberFormat="1" applyFill="1"/>
    <xf numFmtId="166" fontId="11" fillId="0" borderId="0" xfId="5" applyNumberFormat="1"/>
    <xf numFmtId="2" fontId="11" fillId="0" borderId="0" xfId="5" applyNumberFormat="1"/>
    <xf numFmtId="0" fontId="0" fillId="7" borderId="0" xfId="0" applyFill="1"/>
    <xf numFmtId="0" fontId="2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15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164" fontId="16" fillId="5" borderId="22" xfId="0" applyNumberFormat="1" applyFont="1" applyFill="1" applyBorder="1"/>
    <xf numFmtId="165" fontId="17" fillId="0" borderId="21" xfId="2" applyNumberFormat="1" applyBorder="1" applyAlignment="1">
      <alignment wrapText="1"/>
    </xf>
    <xf numFmtId="165" fontId="17" fillId="0" borderId="22" xfId="2" applyNumberFormat="1" applyBorder="1" applyAlignment="1">
      <alignment wrapText="1"/>
    </xf>
    <xf numFmtId="165" fontId="17" fillId="0" borderId="23" xfId="2" applyNumberFormat="1" applyBorder="1" applyAlignment="1">
      <alignment wrapText="1"/>
    </xf>
    <xf numFmtId="165" fontId="17" fillId="0" borderId="0" xfId="2" applyNumberFormat="1" applyBorder="1" applyAlignment="1">
      <alignment wrapText="1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16" fillId="5" borderId="22" xfId="0" applyNumberFormat="1" applyFont="1" applyFill="1" applyBorder="1"/>
    <xf numFmtId="2" fontId="0" fillId="0" borderId="1" xfId="0" applyNumberFormat="1" applyBorder="1"/>
    <xf numFmtId="165" fontId="17" fillId="0" borderId="26" xfId="2" applyNumberFormat="1" applyBorder="1"/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 applyBorder="1" applyAlignment="1">
      <alignment horizontal="right"/>
    </xf>
    <xf numFmtId="167" fontId="24" fillId="0" borderId="0" xfId="2" applyNumberFormat="1" applyFont="1"/>
    <xf numFmtId="0" fontId="22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8" fillId="0" borderId="0" xfId="0" applyFont="1" applyAlignment="1"/>
    <xf numFmtId="0" fontId="15" fillId="0" borderId="0" xfId="0" applyFont="1" applyBorder="1" applyAlignment="1">
      <alignment horizontal="right"/>
    </xf>
    <xf numFmtId="0" fontId="8" fillId="0" borderId="0" xfId="0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 applyBorder="1" applyAlignment="1">
      <alignment horizontal="right"/>
    </xf>
    <xf numFmtId="0" fontId="8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1" xfId="6" applyBorder="1" applyAlignment="1">
      <alignment horizontal="right"/>
    </xf>
    <xf numFmtId="0" fontId="1" fillId="0" borderId="1" xfId="6" applyBorder="1" applyAlignment="1">
      <alignment horizontal="center"/>
    </xf>
    <xf numFmtId="0" fontId="1" fillId="0" borderId="0" xfId="6"/>
    <xf numFmtId="165" fontId="1" fillId="6" borderId="1" xfId="6" applyNumberFormat="1" applyFill="1" applyBorder="1"/>
    <xf numFmtId="165" fontId="1" fillId="0" borderId="1" xfId="6" applyNumberFormat="1" applyBorder="1"/>
    <xf numFmtId="0" fontId="25" fillId="6" borderId="1" xfId="6" applyFont="1" applyFill="1" applyBorder="1" applyAlignment="1">
      <alignment horizontal="center"/>
    </xf>
    <xf numFmtId="0" fontId="1" fillId="6" borderId="1" xfId="6" applyFill="1" applyBorder="1"/>
    <xf numFmtId="0" fontId="1" fillId="6" borderId="1" xfId="6" applyFill="1" applyBorder="1" applyAlignment="1">
      <alignment horizontal="right"/>
    </xf>
    <xf numFmtId="0" fontId="1" fillId="6" borderId="1" xfId="6" applyFill="1" applyBorder="1" applyAlignment="1">
      <alignment horizontal="center"/>
    </xf>
    <xf numFmtId="2" fontId="1" fillId="6" borderId="1" xfId="6" applyNumberFormat="1" applyFill="1" applyBorder="1" applyAlignment="1">
      <alignment horizontal="center"/>
    </xf>
    <xf numFmtId="0" fontId="1" fillId="0" borderId="1" xfId="6" applyBorder="1"/>
    <xf numFmtId="0" fontId="1" fillId="0" borderId="2" xfId="6" applyBorder="1"/>
    <xf numFmtId="0" fontId="1" fillId="0" borderId="4" xfId="6" applyBorder="1"/>
    <xf numFmtId="0" fontId="1" fillId="0" borderId="7" xfId="6" applyBorder="1"/>
    <xf numFmtId="0" fontId="1" fillId="0" borderId="9" xfId="6" applyBorder="1"/>
    <xf numFmtId="165" fontId="1" fillId="0" borderId="0" xfId="6" applyNumberFormat="1"/>
    <xf numFmtId="0" fontId="1" fillId="0" borderId="0" xfId="6" applyAlignment="1">
      <alignment horizontal="right" vertical="center"/>
    </xf>
    <xf numFmtId="0" fontId="16" fillId="8" borderId="22" xfId="0" applyFont="1" applyFill="1" applyBorder="1"/>
    <xf numFmtId="0" fontId="1" fillId="0" borderId="0" xfId="6" applyAlignment="1">
      <alignment horizontal="center" vertical="center"/>
    </xf>
    <xf numFmtId="165" fontId="1" fillId="0" borderId="0" xfId="6" applyNumberFormat="1" applyAlignment="1">
      <alignment horizontal="center" vertical="center"/>
    </xf>
    <xf numFmtId="165" fontId="16" fillId="5" borderId="21" xfId="0" applyNumberFormat="1" applyFont="1" applyFill="1" applyBorder="1"/>
    <xf numFmtId="165" fontId="7" fillId="0" borderId="17" xfId="0" applyNumberFormat="1" applyFont="1" applyFill="1" applyBorder="1" applyAlignment="1">
      <alignment vertical="center" wrapText="1"/>
    </xf>
    <xf numFmtId="165" fontId="16" fillId="5" borderId="22" xfId="0" quotePrefix="1" applyNumberFormat="1" applyFont="1" applyFill="1" applyBorder="1" applyAlignment="1">
      <alignment horizontal="center"/>
    </xf>
    <xf numFmtId="16" fontId="0" fillId="0" borderId="0" xfId="0" applyNumberFormat="1"/>
    <xf numFmtId="0" fontId="14" fillId="5" borderId="24" xfId="0" applyFont="1" applyFill="1" applyBorder="1" applyAlignment="1"/>
    <xf numFmtId="0" fontId="14" fillId="0" borderId="25" xfId="0" applyFont="1" applyBorder="1" applyAlignment="1"/>
    <xf numFmtId="0" fontId="15" fillId="0" borderId="0" xfId="0" applyFont="1" applyBorder="1" applyAlignment="1">
      <alignment horizontal="right"/>
    </xf>
    <xf numFmtId="0" fontId="15" fillId="0" borderId="0" xfId="0" applyFont="1" applyBorder="1" applyAlignment="1"/>
    <xf numFmtId="14" fontId="15" fillId="0" borderId="0" xfId="0" applyNumberFormat="1" applyFont="1" applyAlignment="1">
      <alignment horizontal="right"/>
    </xf>
    <xf numFmtId="0" fontId="8" fillId="0" borderId="0" xfId="0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8" xfId="0" applyFont="1" applyBorder="1" applyAlignment="1">
      <alignment horizontal="right"/>
    </xf>
    <xf numFmtId="0" fontId="15" fillId="0" borderId="8" xfId="0" applyFont="1" applyBorder="1" applyAlignment="1"/>
  </cellXfs>
  <cellStyles count="7">
    <cellStyle name="Normal" xfId="0" builtinId="0"/>
    <cellStyle name="Normal 2" xfId="2"/>
    <cellStyle name="Normal 3" xfId="4"/>
    <cellStyle name="Normal 4" xfId="5"/>
    <cellStyle name="Normal 5" xfId="6"/>
    <cellStyle name="Normal_ACS Grism-nominal" xfId="3"/>
    <cellStyle name="Normal_WL_filters_Bernstein_SCG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0183136390652"/>
          <c:y val="0.0931018405308047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ImC!$L$12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ImC!$A$13:$A$53</c:f>
              <c:numCache>
                <c:formatCode>0.0000</c:formatCode>
                <c:ptCount val="41"/>
                <c:pt idx="0" formatCode="General">
                  <c:v>0.76</c:v>
                </c:pt>
                <c:pt idx="1">
                  <c:v>0.790243902439024</c:v>
                </c:pt>
                <c:pt idx="2">
                  <c:v>0.820487804878049</c:v>
                </c:pt>
                <c:pt idx="3">
                  <c:v>0.850731707317073</c:v>
                </c:pt>
                <c:pt idx="4">
                  <c:v>0.880975609756098</c:v>
                </c:pt>
                <c:pt idx="5">
                  <c:v>0.911219512195122</c:v>
                </c:pt>
                <c:pt idx="6">
                  <c:v>0.941463414634146</c:v>
                </c:pt>
                <c:pt idx="7">
                  <c:v>0.971707317073171</c:v>
                </c:pt>
                <c:pt idx="8">
                  <c:v>1.001951219512195</c:v>
                </c:pt>
                <c:pt idx="9">
                  <c:v>1.03219512195122</c:v>
                </c:pt>
                <c:pt idx="10">
                  <c:v>1.062439024390244</c:v>
                </c:pt>
                <c:pt idx="11">
                  <c:v>1.092682926829269</c:v>
                </c:pt>
                <c:pt idx="12">
                  <c:v>1.122926829268293</c:v>
                </c:pt>
                <c:pt idx="13">
                  <c:v>1.153170731707317</c:v>
                </c:pt>
                <c:pt idx="14">
                  <c:v>1.183414634146342</c:v>
                </c:pt>
                <c:pt idx="15">
                  <c:v>1.213658536585366</c:v>
                </c:pt>
                <c:pt idx="16">
                  <c:v>1.243902439024391</c:v>
                </c:pt>
                <c:pt idx="17">
                  <c:v>1.274146341463415</c:v>
                </c:pt>
                <c:pt idx="18">
                  <c:v>1.304390243902439</c:v>
                </c:pt>
                <c:pt idx="19">
                  <c:v>1.334634146341464</c:v>
                </c:pt>
                <c:pt idx="20">
                  <c:v>1.364878048780488</c:v>
                </c:pt>
                <c:pt idx="21">
                  <c:v>1.395121951219513</c:v>
                </c:pt>
                <c:pt idx="22">
                  <c:v>1.425365853658537</c:v>
                </c:pt>
                <c:pt idx="23">
                  <c:v>1.455609756097562</c:v>
                </c:pt>
                <c:pt idx="24">
                  <c:v>1.485853658536586</c:v>
                </c:pt>
                <c:pt idx="25">
                  <c:v>1.51609756097561</c:v>
                </c:pt>
                <c:pt idx="26">
                  <c:v>1.546341463414635</c:v>
                </c:pt>
                <c:pt idx="27">
                  <c:v>1.57658536585366</c:v>
                </c:pt>
                <c:pt idx="28">
                  <c:v>1.606829268292684</c:v>
                </c:pt>
                <c:pt idx="29">
                  <c:v>1.637073170731708</c:v>
                </c:pt>
                <c:pt idx="30">
                  <c:v>1.667317073170732</c:v>
                </c:pt>
                <c:pt idx="31">
                  <c:v>1.697560975609757</c:v>
                </c:pt>
                <c:pt idx="32">
                  <c:v>1.727804878048781</c:v>
                </c:pt>
                <c:pt idx="33">
                  <c:v>1.758048780487806</c:v>
                </c:pt>
                <c:pt idx="34">
                  <c:v>1.78829268292683</c:v>
                </c:pt>
                <c:pt idx="35">
                  <c:v>1.818536585365855</c:v>
                </c:pt>
                <c:pt idx="36">
                  <c:v>1.848780487804879</c:v>
                </c:pt>
                <c:pt idx="37">
                  <c:v>1.879024390243903</c:v>
                </c:pt>
                <c:pt idx="38">
                  <c:v>1.909268292682928</c:v>
                </c:pt>
                <c:pt idx="39">
                  <c:v>1.939512195121952</c:v>
                </c:pt>
                <c:pt idx="40">
                  <c:v>1.969756097560977</c:v>
                </c:pt>
              </c:numCache>
            </c:numRef>
          </c:xVal>
          <c:yVal>
            <c:numRef>
              <c:f>ImC!$L$13:$L$53</c:f>
              <c:numCache>
                <c:formatCode>0.000</c:formatCode>
                <c:ptCount val="41"/>
                <c:pt idx="0">
                  <c:v>2.025037974118974</c:v>
                </c:pt>
                <c:pt idx="1">
                  <c:v>1.980881991312863</c:v>
                </c:pt>
                <c:pt idx="2">
                  <c:v>1.97118419020546</c:v>
                </c:pt>
                <c:pt idx="3">
                  <c:v>1.960365664015093</c:v>
                </c:pt>
                <c:pt idx="4">
                  <c:v>1.953938715362865</c:v>
                </c:pt>
                <c:pt idx="5">
                  <c:v>1.946026933228451</c:v>
                </c:pt>
                <c:pt idx="6">
                  <c:v>1.939713929749449</c:v>
                </c:pt>
                <c:pt idx="7">
                  <c:v>1.935469634262476</c:v>
                </c:pt>
                <c:pt idx="8">
                  <c:v>1.932165243301698</c:v>
                </c:pt>
                <c:pt idx="9">
                  <c:v>1.958221127402088</c:v>
                </c:pt>
                <c:pt idx="10">
                  <c:v>1.984674359300394</c:v>
                </c:pt>
                <c:pt idx="11">
                  <c:v>2.018628410866659</c:v>
                </c:pt>
                <c:pt idx="12">
                  <c:v>2.051224783396962</c:v>
                </c:pt>
                <c:pt idx="13">
                  <c:v>2.089367860735195</c:v>
                </c:pt>
                <c:pt idx="14">
                  <c:v>2.124884879767679</c:v>
                </c:pt>
                <c:pt idx="15">
                  <c:v>2.163918170292684</c:v>
                </c:pt>
                <c:pt idx="16">
                  <c:v>2.203057533170775</c:v>
                </c:pt>
                <c:pt idx="17">
                  <c:v>2.238554958151753</c:v>
                </c:pt>
                <c:pt idx="18">
                  <c:v>2.275396263624238</c:v>
                </c:pt>
                <c:pt idx="19">
                  <c:v>2.307957912853566</c:v>
                </c:pt>
                <c:pt idx="20">
                  <c:v>2.341292248844099</c:v>
                </c:pt>
                <c:pt idx="21">
                  <c:v>2.37132077213883</c:v>
                </c:pt>
                <c:pt idx="22">
                  <c:v>2.39910653948002</c:v>
                </c:pt>
                <c:pt idx="23">
                  <c:v>2.42872004766339</c:v>
                </c:pt>
                <c:pt idx="24">
                  <c:v>2.454195211635858</c:v>
                </c:pt>
                <c:pt idx="25">
                  <c:v>2.475397386412845</c:v>
                </c:pt>
                <c:pt idx="26">
                  <c:v>2.494937055081179</c:v>
                </c:pt>
                <c:pt idx="27">
                  <c:v>2.512707237167365</c:v>
                </c:pt>
                <c:pt idx="28">
                  <c:v>2.529198824100512</c:v>
                </c:pt>
                <c:pt idx="29">
                  <c:v>2.544155303911833</c:v>
                </c:pt>
                <c:pt idx="30">
                  <c:v>2.557049663971248</c:v>
                </c:pt>
                <c:pt idx="31">
                  <c:v>2.569602447569946</c:v>
                </c:pt>
                <c:pt idx="32">
                  <c:v>2.580441965899514</c:v>
                </c:pt>
                <c:pt idx="33">
                  <c:v>2.591752341664534</c:v>
                </c:pt>
                <c:pt idx="34">
                  <c:v>2.600070077466163</c:v>
                </c:pt>
                <c:pt idx="35">
                  <c:v>2.601086787190423</c:v>
                </c:pt>
                <c:pt idx="36">
                  <c:v>2.60688682583298</c:v>
                </c:pt>
                <c:pt idx="37">
                  <c:v>2.613880290508951</c:v>
                </c:pt>
                <c:pt idx="38">
                  <c:v>2.617179955112934</c:v>
                </c:pt>
                <c:pt idx="39">
                  <c:v>2.624999206179376</c:v>
                </c:pt>
                <c:pt idx="40">
                  <c:v>2.637198506557848</c:v>
                </c:pt>
              </c:numCache>
            </c:numRef>
          </c:yVal>
        </c:ser>
        <c:dLbls/>
        <c:axId val="567348120"/>
        <c:axId val="567354632"/>
      </c:scatterChart>
      <c:valAx>
        <c:axId val="567348120"/>
        <c:scaling>
          <c:orientation val="minMax"/>
          <c:max val="2.5"/>
          <c:min val="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354632"/>
        <c:crosses val="autoZero"/>
        <c:crossBetween val="midCat"/>
      </c:valAx>
      <c:valAx>
        <c:axId val="567354632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7348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0183136390652"/>
          <c:y val="0.0931018405308047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CoroImg!$K$12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CoroImg!$A$13:$A$53</c:f>
              <c:numCache>
                <c:formatCode>0.0000</c:formatCode>
                <c:ptCount val="41"/>
                <c:pt idx="0" formatCode="General">
                  <c:v>0.4</c:v>
                </c:pt>
                <c:pt idx="1">
                  <c:v>0.414634146341463</c:v>
                </c:pt>
                <c:pt idx="2">
                  <c:v>0.429268292682927</c:v>
                </c:pt>
                <c:pt idx="3">
                  <c:v>0.44390243902439</c:v>
                </c:pt>
                <c:pt idx="4">
                  <c:v>0.458536585365854</c:v>
                </c:pt>
                <c:pt idx="5">
                  <c:v>0.473170731707317</c:v>
                </c:pt>
                <c:pt idx="6">
                  <c:v>0.487804878048781</c:v>
                </c:pt>
                <c:pt idx="7">
                  <c:v>0.502439024390244</c:v>
                </c:pt>
                <c:pt idx="8">
                  <c:v>0.517073170731707</c:v>
                </c:pt>
                <c:pt idx="9">
                  <c:v>0.531707317073171</c:v>
                </c:pt>
                <c:pt idx="10">
                  <c:v>0.546341463414634</c:v>
                </c:pt>
                <c:pt idx="11">
                  <c:v>0.560975609756098</c:v>
                </c:pt>
                <c:pt idx="12">
                  <c:v>0.575609756097561</c:v>
                </c:pt>
                <c:pt idx="13">
                  <c:v>0.590243902439025</c:v>
                </c:pt>
                <c:pt idx="14">
                  <c:v>0.604878048780488</c:v>
                </c:pt>
                <c:pt idx="15">
                  <c:v>0.619512195121951</c:v>
                </c:pt>
                <c:pt idx="16">
                  <c:v>0.634146341463415</c:v>
                </c:pt>
                <c:pt idx="17">
                  <c:v>0.648780487804878</c:v>
                </c:pt>
                <c:pt idx="18">
                  <c:v>0.663414634146342</c:v>
                </c:pt>
                <c:pt idx="19">
                  <c:v>0.678048780487805</c:v>
                </c:pt>
                <c:pt idx="20">
                  <c:v>0.692682926829268</c:v>
                </c:pt>
                <c:pt idx="21">
                  <c:v>0.707317073170732</c:v>
                </c:pt>
                <c:pt idx="22">
                  <c:v>0.721951219512195</c:v>
                </c:pt>
                <c:pt idx="23">
                  <c:v>0.736585365853659</c:v>
                </c:pt>
                <c:pt idx="24">
                  <c:v>0.751219512195122</c:v>
                </c:pt>
                <c:pt idx="25">
                  <c:v>0.765853658536586</c:v>
                </c:pt>
                <c:pt idx="26">
                  <c:v>0.780487804878049</c:v>
                </c:pt>
                <c:pt idx="27">
                  <c:v>0.795121951219512</c:v>
                </c:pt>
                <c:pt idx="28">
                  <c:v>0.809756097560976</c:v>
                </c:pt>
                <c:pt idx="29">
                  <c:v>0.824390243902439</c:v>
                </c:pt>
                <c:pt idx="30">
                  <c:v>0.839024390243903</c:v>
                </c:pt>
                <c:pt idx="31">
                  <c:v>0.853658536585366</c:v>
                </c:pt>
                <c:pt idx="32">
                  <c:v>0.86829268292683</c:v>
                </c:pt>
                <c:pt idx="33">
                  <c:v>0.882926829268293</c:v>
                </c:pt>
                <c:pt idx="34">
                  <c:v>0.897560975609756</c:v>
                </c:pt>
                <c:pt idx="35">
                  <c:v>0.91219512195122</c:v>
                </c:pt>
                <c:pt idx="36">
                  <c:v>0.926829268292683</c:v>
                </c:pt>
                <c:pt idx="37">
                  <c:v>0.941463414634147</c:v>
                </c:pt>
                <c:pt idx="38">
                  <c:v>0.95609756097561</c:v>
                </c:pt>
                <c:pt idx="39">
                  <c:v>0.970731707317074</c:v>
                </c:pt>
                <c:pt idx="40">
                  <c:v>0.985365853658537</c:v>
                </c:pt>
              </c:numCache>
            </c:numRef>
          </c:xVal>
          <c:yVal>
            <c:numRef>
              <c:f>CoroImg!$K$13:$K$53</c:f>
              <c:numCache>
                <c:formatCode>0.000</c:formatCode>
                <c:ptCount val="41"/>
                <c:pt idx="0">
                  <c:v>0.915561833780152</c:v>
                </c:pt>
                <c:pt idx="1">
                  <c:v>1.164334918528311</c:v>
                </c:pt>
                <c:pt idx="2">
                  <c:v>1.355736140195659</c:v>
                </c:pt>
                <c:pt idx="3">
                  <c:v>1.509728191741833</c:v>
                </c:pt>
                <c:pt idx="4">
                  <c:v>1.621238439241986</c:v>
                </c:pt>
                <c:pt idx="5">
                  <c:v>1.730856116988587</c:v>
                </c:pt>
                <c:pt idx="6">
                  <c:v>1.781270675105981</c:v>
                </c:pt>
                <c:pt idx="7">
                  <c:v>1.801602521266696</c:v>
                </c:pt>
                <c:pt idx="8">
                  <c:v>1.81785760406641</c:v>
                </c:pt>
                <c:pt idx="9">
                  <c:v>1.832015193517114</c:v>
                </c:pt>
                <c:pt idx="10">
                  <c:v>1.848992336124139</c:v>
                </c:pt>
                <c:pt idx="11">
                  <c:v>1.903626312391575</c:v>
                </c:pt>
                <c:pt idx="12">
                  <c:v>1.941492339295457</c:v>
                </c:pt>
                <c:pt idx="13">
                  <c:v>1.976538678427556</c:v>
                </c:pt>
                <c:pt idx="14">
                  <c:v>1.994521314620558</c:v>
                </c:pt>
                <c:pt idx="15">
                  <c:v>1.997848011234632</c:v>
                </c:pt>
                <c:pt idx="16">
                  <c:v>1.998708750989778</c:v>
                </c:pt>
                <c:pt idx="17">
                  <c:v>1.9862467799429</c:v>
                </c:pt>
                <c:pt idx="18">
                  <c:v>1.967317137069387</c:v>
                </c:pt>
                <c:pt idx="19">
                  <c:v>1.950939611483597</c:v>
                </c:pt>
                <c:pt idx="20">
                  <c:v>1.928124591858554</c:v>
                </c:pt>
                <c:pt idx="21">
                  <c:v>1.89211177264975</c:v>
                </c:pt>
                <c:pt idx="22">
                  <c:v>1.864908340960148</c:v>
                </c:pt>
                <c:pt idx="23">
                  <c:v>1.838443387595665</c:v>
                </c:pt>
                <c:pt idx="24">
                  <c:v>1.813886414939529</c:v>
                </c:pt>
                <c:pt idx="25">
                  <c:v>1.791996587674416</c:v>
                </c:pt>
                <c:pt idx="26">
                  <c:v>1.769285084340183</c:v>
                </c:pt>
                <c:pt idx="27">
                  <c:v>1.757393304463395</c:v>
                </c:pt>
                <c:pt idx="28">
                  <c:v>1.755386565490268</c:v>
                </c:pt>
                <c:pt idx="29">
                  <c:v>1.744393682764339</c:v>
                </c:pt>
                <c:pt idx="30">
                  <c:v>1.737109589050771</c:v>
                </c:pt>
                <c:pt idx="31">
                  <c:v>1.726160449319498</c:v>
                </c:pt>
                <c:pt idx="32">
                  <c:v>1.718546526416703</c:v>
                </c:pt>
                <c:pt idx="33">
                  <c:v>1.708885708700783</c:v>
                </c:pt>
                <c:pt idx="34">
                  <c:v>1.697712447588771</c:v>
                </c:pt>
                <c:pt idx="35">
                  <c:v>1.69021260908991</c:v>
                </c:pt>
                <c:pt idx="36">
                  <c:v>1.682367333658131</c:v>
                </c:pt>
                <c:pt idx="37">
                  <c:v>1.659842435404707</c:v>
                </c:pt>
                <c:pt idx="38">
                  <c:v>1.653885968501703</c:v>
                </c:pt>
                <c:pt idx="39">
                  <c:v>1.635908138955949</c:v>
                </c:pt>
                <c:pt idx="40">
                  <c:v>1.61728645121737</c:v>
                </c:pt>
              </c:numCache>
            </c:numRef>
          </c:yVal>
        </c:ser>
        <c:dLbls/>
        <c:axId val="576126440"/>
        <c:axId val="576133160"/>
      </c:scatterChart>
      <c:valAx>
        <c:axId val="576126440"/>
        <c:scaling>
          <c:orientation val="minMax"/>
          <c:max val="1.05"/>
          <c:min val="0.3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133160"/>
        <c:crosses val="autoZero"/>
        <c:crossBetween val="midCat"/>
      </c:valAx>
      <c:valAx>
        <c:axId val="576133160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76126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29002187226597"/>
          <c:y val="0.0514005540974045"/>
          <c:w val="0.814970034995626"/>
          <c:h val="0.824006253094332"/>
        </c:manualLayout>
      </c:layout>
      <c:scatterChart>
        <c:scatterStyle val="smoothMarker"/>
        <c:ser>
          <c:idx val="0"/>
          <c:order val="0"/>
          <c:tx>
            <c:strRef>
              <c:f>ImC!$I$1</c:f>
              <c:strCache>
                <c:ptCount val="1"/>
                <c:pt idx="0">
                  <c:v> ImC </c:v>
                </c:pt>
              </c:strCache>
            </c:strRef>
          </c:tx>
          <c:marker>
            <c:symbol val="none"/>
          </c:marker>
          <c:xVal>
            <c:numRef>
              <c:f>ImC!$A$13:$A$54</c:f>
              <c:numCache>
                <c:formatCode>0.0000</c:formatCode>
                <c:ptCount val="42"/>
                <c:pt idx="0" formatCode="General">
                  <c:v>0.76</c:v>
                </c:pt>
                <c:pt idx="1">
                  <c:v>0.790243902439024</c:v>
                </c:pt>
                <c:pt idx="2">
                  <c:v>0.820487804878049</c:v>
                </c:pt>
                <c:pt idx="3">
                  <c:v>0.850731707317073</c:v>
                </c:pt>
                <c:pt idx="4">
                  <c:v>0.880975609756098</c:v>
                </c:pt>
                <c:pt idx="5">
                  <c:v>0.911219512195122</c:v>
                </c:pt>
                <c:pt idx="6">
                  <c:v>0.941463414634146</c:v>
                </c:pt>
                <c:pt idx="7">
                  <c:v>0.971707317073171</c:v>
                </c:pt>
                <c:pt idx="8">
                  <c:v>1.001951219512195</c:v>
                </c:pt>
                <c:pt idx="9">
                  <c:v>1.03219512195122</c:v>
                </c:pt>
                <c:pt idx="10">
                  <c:v>1.062439024390244</c:v>
                </c:pt>
                <c:pt idx="11">
                  <c:v>1.092682926829269</c:v>
                </c:pt>
                <c:pt idx="12">
                  <c:v>1.122926829268293</c:v>
                </c:pt>
                <c:pt idx="13">
                  <c:v>1.153170731707317</c:v>
                </c:pt>
                <c:pt idx="14">
                  <c:v>1.183414634146342</c:v>
                </c:pt>
                <c:pt idx="15">
                  <c:v>1.213658536585366</c:v>
                </c:pt>
                <c:pt idx="16">
                  <c:v>1.243902439024391</c:v>
                </c:pt>
                <c:pt idx="17">
                  <c:v>1.274146341463415</c:v>
                </c:pt>
                <c:pt idx="18">
                  <c:v>1.304390243902439</c:v>
                </c:pt>
                <c:pt idx="19">
                  <c:v>1.334634146341464</c:v>
                </c:pt>
                <c:pt idx="20">
                  <c:v>1.364878048780488</c:v>
                </c:pt>
                <c:pt idx="21">
                  <c:v>1.395121951219513</c:v>
                </c:pt>
                <c:pt idx="22">
                  <c:v>1.425365853658537</c:v>
                </c:pt>
                <c:pt idx="23">
                  <c:v>1.455609756097562</c:v>
                </c:pt>
                <c:pt idx="24">
                  <c:v>1.485853658536586</c:v>
                </c:pt>
                <c:pt idx="25">
                  <c:v>1.51609756097561</c:v>
                </c:pt>
                <c:pt idx="26">
                  <c:v>1.546341463414635</c:v>
                </c:pt>
                <c:pt idx="27">
                  <c:v>1.57658536585366</c:v>
                </c:pt>
                <c:pt idx="28">
                  <c:v>1.606829268292684</c:v>
                </c:pt>
                <c:pt idx="29">
                  <c:v>1.637073170731708</c:v>
                </c:pt>
                <c:pt idx="30">
                  <c:v>1.667317073170732</c:v>
                </c:pt>
                <c:pt idx="31">
                  <c:v>1.697560975609757</c:v>
                </c:pt>
                <c:pt idx="32">
                  <c:v>1.727804878048781</c:v>
                </c:pt>
                <c:pt idx="33">
                  <c:v>1.758048780487806</c:v>
                </c:pt>
                <c:pt idx="34">
                  <c:v>1.78829268292683</c:v>
                </c:pt>
                <c:pt idx="35">
                  <c:v>1.818536585365855</c:v>
                </c:pt>
                <c:pt idx="36">
                  <c:v>1.848780487804879</c:v>
                </c:pt>
                <c:pt idx="37">
                  <c:v>1.879024390243903</c:v>
                </c:pt>
                <c:pt idx="38">
                  <c:v>1.909268292682928</c:v>
                </c:pt>
                <c:pt idx="39">
                  <c:v>1.939512195121952</c:v>
                </c:pt>
                <c:pt idx="40">
                  <c:v>1.969756097560977</c:v>
                </c:pt>
                <c:pt idx="41">
                  <c:v>2.000000000000001</c:v>
                </c:pt>
              </c:numCache>
            </c:numRef>
          </c:xVal>
          <c:yVal>
            <c:numRef>
              <c:f>ImC!$L$13:$L$54</c:f>
              <c:numCache>
                <c:formatCode>0.000</c:formatCode>
                <c:ptCount val="42"/>
                <c:pt idx="0">
                  <c:v>2.025037974118974</c:v>
                </c:pt>
                <c:pt idx="1">
                  <c:v>1.980881991312863</c:v>
                </c:pt>
                <c:pt idx="2">
                  <c:v>1.97118419020546</c:v>
                </c:pt>
                <c:pt idx="3">
                  <c:v>1.960365664015093</c:v>
                </c:pt>
                <c:pt idx="4">
                  <c:v>1.953938715362865</c:v>
                </c:pt>
                <c:pt idx="5">
                  <c:v>1.946026933228451</c:v>
                </c:pt>
                <c:pt idx="6">
                  <c:v>1.939713929749449</c:v>
                </c:pt>
                <c:pt idx="7">
                  <c:v>1.935469634262476</c:v>
                </c:pt>
                <c:pt idx="8">
                  <c:v>1.932165243301698</c:v>
                </c:pt>
                <c:pt idx="9">
                  <c:v>1.958221127402088</c:v>
                </c:pt>
                <c:pt idx="10">
                  <c:v>1.984674359300394</c:v>
                </c:pt>
                <c:pt idx="11">
                  <c:v>2.018628410866659</c:v>
                </c:pt>
                <c:pt idx="12">
                  <c:v>2.051224783396962</c:v>
                </c:pt>
                <c:pt idx="13">
                  <c:v>2.089367860735195</c:v>
                </c:pt>
                <c:pt idx="14">
                  <c:v>2.124884879767679</c:v>
                </c:pt>
                <c:pt idx="15">
                  <c:v>2.163918170292684</c:v>
                </c:pt>
                <c:pt idx="16">
                  <c:v>2.203057533170775</c:v>
                </c:pt>
                <c:pt idx="17">
                  <c:v>2.238554958151753</c:v>
                </c:pt>
                <c:pt idx="18">
                  <c:v>2.275396263624238</c:v>
                </c:pt>
                <c:pt idx="19">
                  <c:v>2.307957912853566</c:v>
                </c:pt>
                <c:pt idx="20">
                  <c:v>2.341292248844099</c:v>
                </c:pt>
                <c:pt idx="21">
                  <c:v>2.37132077213883</c:v>
                </c:pt>
                <c:pt idx="22">
                  <c:v>2.39910653948002</c:v>
                </c:pt>
                <c:pt idx="23">
                  <c:v>2.42872004766339</c:v>
                </c:pt>
                <c:pt idx="24">
                  <c:v>2.454195211635858</c:v>
                </c:pt>
                <c:pt idx="25">
                  <c:v>2.475397386412845</c:v>
                </c:pt>
                <c:pt idx="26">
                  <c:v>2.494937055081179</c:v>
                </c:pt>
                <c:pt idx="27">
                  <c:v>2.512707237167365</c:v>
                </c:pt>
                <c:pt idx="28">
                  <c:v>2.529198824100512</c:v>
                </c:pt>
                <c:pt idx="29">
                  <c:v>2.544155303911833</c:v>
                </c:pt>
                <c:pt idx="30">
                  <c:v>2.557049663971248</c:v>
                </c:pt>
                <c:pt idx="31">
                  <c:v>2.569602447569946</c:v>
                </c:pt>
                <c:pt idx="32">
                  <c:v>2.580441965899514</c:v>
                </c:pt>
                <c:pt idx="33">
                  <c:v>2.591752341664534</c:v>
                </c:pt>
                <c:pt idx="34">
                  <c:v>2.600070077466163</c:v>
                </c:pt>
                <c:pt idx="35">
                  <c:v>2.601086787190423</c:v>
                </c:pt>
                <c:pt idx="36">
                  <c:v>2.60688682583298</c:v>
                </c:pt>
                <c:pt idx="37">
                  <c:v>2.613880290508951</c:v>
                </c:pt>
                <c:pt idx="38">
                  <c:v>2.617179955112934</c:v>
                </c:pt>
                <c:pt idx="39">
                  <c:v>2.624999206179376</c:v>
                </c:pt>
                <c:pt idx="40">
                  <c:v>2.637198506557848</c:v>
                </c:pt>
                <c:pt idx="41">
                  <c:v>2.641059454261144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'Z087'!$I$1:$J$1</c:f>
              <c:strCache>
                <c:ptCount val="1"/>
                <c:pt idx="0">
                  <c:v>Z087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'Z087'!$A$13:$A$53</c:f>
              <c:numCache>
                <c:formatCode>0.0000</c:formatCode>
                <c:ptCount val="41"/>
                <c:pt idx="0" formatCode="General">
                  <c:v>0.76</c:v>
                </c:pt>
                <c:pt idx="1">
                  <c:v>0.765296167247387</c:v>
                </c:pt>
                <c:pt idx="2">
                  <c:v>0.770592334494774</c:v>
                </c:pt>
                <c:pt idx="3">
                  <c:v>0.77588850174216</c:v>
                </c:pt>
                <c:pt idx="4">
                  <c:v>0.781184668989547</c:v>
                </c:pt>
                <c:pt idx="5">
                  <c:v>0.786480836236934</c:v>
                </c:pt>
                <c:pt idx="6">
                  <c:v>0.791777003484321</c:v>
                </c:pt>
                <c:pt idx="7">
                  <c:v>0.797073170731707</c:v>
                </c:pt>
                <c:pt idx="8">
                  <c:v>0.802369337979094</c:v>
                </c:pt>
                <c:pt idx="9">
                  <c:v>0.807665505226481</c:v>
                </c:pt>
                <c:pt idx="10">
                  <c:v>0.812961672473868</c:v>
                </c:pt>
                <c:pt idx="11">
                  <c:v>0.818257839721255</c:v>
                </c:pt>
                <c:pt idx="12">
                  <c:v>0.823554006968642</c:v>
                </c:pt>
                <c:pt idx="13">
                  <c:v>0.828850174216028</c:v>
                </c:pt>
                <c:pt idx="14">
                  <c:v>0.834146341463415</c:v>
                </c:pt>
                <c:pt idx="15">
                  <c:v>0.839442508710802</c:v>
                </c:pt>
                <c:pt idx="16">
                  <c:v>0.844738675958189</c:v>
                </c:pt>
                <c:pt idx="17">
                  <c:v>0.850034843205575</c:v>
                </c:pt>
                <c:pt idx="18">
                  <c:v>0.855331010452962</c:v>
                </c:pt>
                <c:pt idx="19">
                  <c:v>0.860627177700349</c:v>
                </c:pt>
                <c:pt idx="20">
                  <c:v>0.865923344947736</c:v>
                </c:pt>
                <c:pt idx="21">
                  <c:v>0.871219512195123</c:v>
                </c:pt>
                <c:pt idx="22">
                  <c:v>0.876515679442509</c:v>
                </c:pt>
                <c:pt idx="23">
                  <c:v>0.881811846689896</c:v>
                </c:pt>
                <c:pt idx="24">
                  <c:v>0.887108013937283</c:v>
                </c:pt>
                <c:pt idx="25">
                  <c:v>0.89240418118467</c:v>
                </c:pt>
                <c:pt idx="26">
                  <c:v>0.897700348432057</c:v>
                </c:pt>
                <c:pt idx="27">
                  <c:v>0.902996515679443</c:v>
                </c:pt>
                <c:pt idx="28">
                  <c:v>0.90829268292683</c:v>
                </c:pt>
                <c:pt idx="29">
                  <c:v>0.913588850174217</c:v>
                </c:pt>
                <c:pt idx="30">
                  <c:v>0.918885017421604</c:v>
                </c:pt>
                <c:pt idx="31">
                  <c:v>0.924181184668991</c:v>
                </c:pt>
                <c:pt idx="32">
                  <c:v>0.929477351916377</c:v>
                </c:pt>
                <c:pt idx="33">
                  <c:v>0.934773519163764</c:v>
                </c:pt>
                <c:pt idx="34">
                  <c:v>0.940069686411151</c:v>
                </c:pt>
                <c:pt idx="35">
                  <c:v>0.945365853658538</c:v>
                </c:pt>
                <c:pt idx="36">
                  <c:v>0.950662020905925</c:v>
                </c:pt>
                <c:pt idx="37">
                  <c:v>0.955958188153311</c:v>
                </c:pt>
                <c:pt idx="38">
                  <c:v>0.961254355400698</c:v>
                </c:pt>
                <c:pt idx="39">
                  <c:v>0.966550522648085</c:v>
                </c:pt>
                <c:pt idx="40">
                  <c:v>0.971846689895472</c:v>
                </c:pt>
              </c:numCache>
            </c:numRef>
          </c:xVal>
          <c:yVal>
            <c:numRef>
              <c:f>'Z087'!$L$13:$L$53</c:f>
              <c:numCache>
                <c:formatCode>0.000</c:formatCode>
                <c:ptCount val="41"/>
                <c:pt idx="0">
                  <c:v>0.467159740282681</c:v>
                </c:pt>
                <c:pt idx="1">
                  <c:v>1.118082523981647</c:v>
                </c:pt>
                <c:pt idx="2">
                  <c:v>1.76172758351816</c:v>
                </c:pt>
                <c:pt idx="3">
                  <c:v>1.753349322254054</c:v>
                </c:pt>
                <c:pt idx="4">
                  <c:v>2.098014747198588</c:v>
                </c:pt>
                <c:pt idx="5">
                  <c:v>2.088715927455629</c:v>
                </c:pt>
                <c:pt idx="6">
                  <c:v>2.082306362824065</c:v>
                </c:pt>
                <c:pt idx="7">
                  <c:v>2.08119656884068</c:v>
                </c:pt>
                <c:pt idx="8">
                  <c:v>2.079749934782166</c:v>
                </c:pt>
                <c:pt idx="9">
                  <c:v>2.078549238755556</c:v>
                </c:pt>
                <c:pt idx="10">
                  <c:v>2.076641293267339</c:v>
                </c:pt>
                <c:pt idx="11">
                  <c:v>2.074379267138346</c:v>
                </c:pt>
                <c:pt idx="12">
                  <c:v>2.073095356125666</c:v>
                </c:pt>
                <c:pt idx="13">
                  <c:v>2.070863375306423</c:v>
                </c:pt>
                <c:pt idx="14">
                  <c:v>2.067728941056378</c:v>
                </c:pt>
                <c:pt idx="15">
                  <c:v>2.066285912532117</c:v>
                </c:pt>
                <c:pt idx="16">
                  <c:v>2.06353221241691</c:v>
                </c:pt>
                <c:pt idx="17">
                  <c:v>2.062216068691809</c:v>
                </c:pt>
                <c:pt idx="18">
                  <c:v>2.062172786278507</c:v>
                </c:pt>
                <c:pt idx="19">
                  <c:v>2.060798983200472</c:v>
                </c:pt>
                <c:pt idx="20">
                  <c:v>2.060030943314116</c:v>
                </c:pt>
                <c:pt idx="21">
                  <c:v>2.057713722069627</c:v>
                </c:pt>
                <c:pt idx="22">
                  <c:v>2.055888136754993</c:v>
                </c:pt>
                <c:pt idx="23">
                  <c:v>2.055455209212085</c:v>
                </c:pt>
                <c:pt idx="24">
                  <c:v>2.053839664272921</c:v>
                </c:pt>
                <c:pt idx="25">
                  <c:v>2.051948747052132</c:v>
                </c:pt>
                <c:pt idx="26">
                  <c:v>2.050549426880147</c:v>
                </c:pt>
                <c:pt idx="27">
                  <c:v>2.048517272266146</c:v>
                </c:pt>
                <c:pt idx="28">
                  <c:v>2.047475330274719</c:v>
                </c:pt>
                <c:pt idx="29">
                  <c:v>2.046770162265865</c:v>
                </c:pt>
                <c:pt idx="30">
                  <c:v>2.04585607478913</c:v>
                </c:pt>
                <c:pt idx="31">
                  <c:v>2.04465003475075</c:v>
                </c:pt>
                <c:pt idx="32">
                  <c:v>2.043488288860042</c:v>
                </c:pt>
                <c:pt idx="33">
                  <c:v>2.042150029450533</c:v>
                </c:pt>
                <c:pt idx="34">
                  <c:v>2.040491377716688</c:v>
                </c:pt>
                <c:pt idx="35">
                  <c:v>2.039709048187603</c:v>
                </c:pt>
                <c:pt idx="36">
                  <c:v>2.038487457704809</c:v>
                </c:pt>
                <c:pt idx="37">
                  <c:v>2.037620295787284</c:v>
                </c:pt>
                <c:pt idx="38">
                  <c:v>1.906200355076329</c:v>
                </c:pt>
                <c:pt idx="39">
                  <c:v>1.905504293291896</c:v>
                </c:pt>
                <c:pt idx="40">
                  <c:v>1.418868419159083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'Y106'!$I$1:$J$1</c:f>
              <c:strCache>
                <c:ptCount val="1"/>
                <c:pt idx="0">
                  <c:v>Y106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'Y106'!$A$13:$A$54</c:f>
              <c:numCache>
                <c:formatCode>0.0000</c:formatCode>
                <c:ptCount val="42"/>
                <c:pt idx="0" formatCode="General">
                  <c:v>0.927142857142857</c:v>
                </c:pt>
                <c:pt idx="1">
                  <c:v>0.933603782976605</c:v>
                </c:pt>
                <c:pt idx="2">
                  <c:v>0.940064708810353</c:v>
                </c:pt>
                <c:pt idx="3">
                  <c:v>0.946525634644102</c:v>
                </c:pt>
                <c:pt idx="4">
                  <c:v>0.95298656047785</c:v>
                </c:pt>
                <c:pt idx="5">
                  <c:v>0.959447486311598</c:v>
                </c:pt>
                <c:pt idx="6">
                  <c:v>0.965908412145346</c:v>
                </c:pt>
                <c:pt idx="7">
                  <c:v>0.972369337979094</c:v>
                </c:pt>
                <c:pt idx="8">
                  <c:v>0.978830263812842</c:v>
                </c:pt>
                <c:pt idx="9">
                  <c:v>0.98529118964659</c:v>
                </c:pt>
                <c:pt idx="10">
                  <c:v>0.991752115480338</c:v>
                </c:pt>
                <c:pt idx="11">
                  <c:v>0.998213041314087</c:v>
                </c:pt>
                <c:pt idx="12">
                  <c:v>1.004673967147835</c:v>
                </c:pt>
                <c:pt idx="13">
                  <c:v>1.011134892981583</c:v>
                </c:pt>
                <c:pt idx="14">
                  <c:v>1.017595818815331</c:v>
                </c:pt>
                <c:pt idx="15">
                  <c:v>1.02405674464908</c:v>
                </c:pt>
                <c:pt idx="16">
                  <c:v>1.030517670482828</c:v>
                </c:pt>
                <c:pt idx="17">
                  <c:v>1.036978596316576</c:v>
                </c:pt>
                <c:pt idx="18">
                  <c:v>1.043439522150324</c:v>
                </c:pt>
                <c:pt idx="19">
                  <c:v>1.049900447984073</c:v>
                </c:pt>
                <c:pt idx="20">
                  <c:v>1.056361373817821</c:v>
                </c:pt>
                <c:pt idx="21">
                  <c:v>1.06282229965157</c:v>
                </c:pt>
                <c:pt idx="22">
                  <c:v>1.069283225485317</c:v>
                </c:pt>
                <c:pt idx="23">
                  <c:v>1.075744151319066</c:v>
                </c:pt>
                <c:pt idx="24">
                  <c:v>1.082205077152814</c:v>
                </c:pt>
                <c:pt idx="25">
                  <c:v>1.088666002986562</c:v>
                </c:pt>
                <c:pt idx="26">
                  <c:v>1.09512692882031</c:v>
                </c:pt>
                <c:pt idx="27">
                  <c:v>1.101587854654059</c:v>
                </c:pt>
                <c:pt idx="28">
                  <c:v>1.108048780487807</c:v>
                </c:pt>
                <c:pt idx="29">
                  <c:v>1.114509706321555</c:v>
                </c:pt>
                <c:pt idx="30">
                  <c:v>1.120970632155303</c:v>
                </c:pt>
                <c:pt idx="31">
                  <c:v>1.127431557989051</c:v>
                </c:pt>
                <c:pt idx="32">
                  <c:v>1.1338924838228</c:v>
                </c:pt>
                <c:pt idx="33">
                  <c:v>1.140353409656548</c:v>
                </c:pt>
                <c:pt idx="34">
                  <c:v>1.146814335490296</c:v>
                </c:pt>
                <c:pt idx="35">
                  <c:v>1.153275261324044</c:v>
                </c:pt>
                <c:pt idx="36">
                  <c:v>1.159736187157793</c:v>
                </c:pt>
                <c:pt idx="37">
                  <c:v>1.166197112991541</c:v>
                </c:pt>
                <c:pt idx="38">
                  <c:v>1.17265803882529</c:v>
                </c:pt>
                <c:pt idx="39">
                  <c:v>1.179118964659037</c:v>
                </c:pt>
                <c:pt idx="40">
                  <c:v>1.185579890492786</c:v>
                </c:pt>
                <c:pt idx="41">
                  <c:v>1.192040816326534</c:v>
                </c:pt>
              </c:numCache>
            </c:numRef>
          </c:xVal>
          <c:yVal>
            <c:numRef>
              <c:f>'Y106'!$L$13:$L$54</c:f>
              <c:numCache>
                <c:formatCode>0.000</c:formatCode>
                <c:ptCount val="42"/>
                <c:pt idx="0">
                  <c:v>0.708391159866963</c:v>
                </c:pt>
                <c:pt idx="1">
                  <c:v>1.221878934270791</c:v>
                </c:pt>
                <c:pt idx="2">
                  <c:v>1.734194277712356</c:v>
                </c:pt>
                <c:pt idx="3">
                  <c:v>1.733092718186804</c:v>
                </c:pt>
                <c:pt idx="4">
                  <c:v>2.038012508733637</c:v>
                </c:pt>
                <c:pt idx="5">
                  <c:v>2.037289769141242</c:v>
                </c:pt>
                <c:pt idx="6">
                  <c:v>2.036768957625269</c:v>
                </c:pt>
                <c:pt idx="7">
                  <c:v>2.035928196396086</c:v>
                </c:pt>
                <c:pt idx="8">
                  <c:v>2.035088005459372</c:v>
                </c:pt>
                <c:pt idx="9">
                  <c:v>2.034213753435778</c:v>
                </c:pt>
                <c:pt idx="10">
                  <c:v>2.033463819752285</c:v>
                </c:pt>
                <c:pt idx="11">
                  <c:v>2.032907319628813</c:v>
                </c:pt>
                <c:pt idx="12">
                  <c:v>2.034623557345157</c:v>
                </c:pt>
                <c:pt idx="13">
                  <c:v>2.039917337763892</c:v>
                </c:pt>
                <c:pt idx="14">
                  <c:v>2.045619112656781</c:v>
                </c:pt>
                <c:pt idx="15">
                  <c:v>2.051422552020058</c:v>
                </c:pt>
                <c:pt idx="16">
                  <c:v>2.057161930654904</c:v>
                </c:pt>
                <c:pt idx="17">
                  <c:v>2.062739787457031</c:v>
                </c:pt>
                <c:pt idx="18">
                  <c:v>2.068589596324903</c:v>
                </c:pt>
                <c:pt idx="19">
                  <c:v>2.074986427565788</c:v>
                </c:pt>
                <c:pt idx="20">
                  <c:v>2.081391184220676</c:v>
                </c:pt>
                <c:pt idx="21">
                  <c:v>2.0877877173625</c:v>
                </c:pt>
                <c:pt idx="22">
                  <c:v>2.094359840710245</c:v>
                </c:pt>
                <c:pt idx="23">
                  <c:v>2.100944574768524</c:v>
                </c:pt>
                <c:pt idx="24">
                  <c:v>2.108791348731084</c:v>
                </c:pt>
                <c:pt idx="25">
                  <c:v>2.119973476490623</c:v>
                </c:pt>
                <c:pt idx="26">
                  <c:v>2.12722844232013</c:v>
                </c:pt>
                <c:pt idx="27">
                  <c:v>2.134689031094906</c:v>
                </c:pt>
                <c:pt idx="28">
                  <c:v>2.141697092743552</c:v>
                </c:pt>
                <c:pt idx="29">
                  <c:v>2.149437131927471</c:v>
                </c:pt>
                <c:pt idx="30">
                  <c:v>2.15760748192056</c:v>
                </c:pt>
                <c:pt idx="31">
                  <c:v>2.165706107748349</c:v>
                </c:pt>
                <c:pt idx="32">
                  <c:v>2.174009472200269</c:v>
                </c:pt>
                <c:pt idx="33">
                  <c:v>2.18219316506198</c:v>
                </c:pt>
                <c:pt idx="34">
                  <c:v>2.190016406667656</c:v>
                </c:pt>
                <c:pt idx="35">
                  <c:v>2.197920548654934</c:v>
                </c:pt>
                <c:pt idx="36">
                  <c:v>2.206041532390608</c:v>
                </c:pt>
                <c:pt idx="37">
                  <c:v>2.214353660669355</c:v>
                </c:pt>
                <c:pt idx="38">
                  <c:v>2.128641083284418</c:v>
                </c:pt>
                <c:pt idx="39">
                  <c:v>2.13656117135916</c:v>
                </c:pt>
                <c:pt idx="40">
                  <c:v>1.7063534781835</c:v>
                </c:pt>
                <c:pt idx="41">
                  <c:v>1.712857025401361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'J129'!$I$1:$J$1</c:f>
              <c:strCache>
                <c:ptCount val="1"/>
                <c:pt idx="0">
                  <c:v>J129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'J129'!$A$13:$A$54</c:f>
              <c:numCache>
                <c:formatCode>0.0000</c:formatCode>
                <c:ptCount val="42"/>
                <c:pt idx="0" formatCode="General">
                  <c:v>1.131044575725027</c:v>
                </c:pt>
                <c:pt idx="1">
                  <c:v>1.138926419458303</c:v>
                </c:pt>
                <c:pt idx="2">
                  <c:v>1.146808263191578</c:v>
                </c:pt>
                <c:pt idx="3">
                  <c:v>1.154690106924854</c:v>
                </c:pt>
                <c:pt idx="4">
                  <c:v>1.16257195065813</c:v>
                </c:pt>
                <c:pt idx="5">
                  <c:v>1.170453794391405</c:v>
                </c:pt>
                <c:pt idx="6">
                  <c:v>1.17833563812468</c:v>
                </c:pt>
                <c:pt idx="7">
                  <c:v>1.186217481857956</c:v>
                </c:pt>
                <c:pt idx="8">
                  <c:v>1.194099325591231</c:v>
                </c:pt>
                <c:pt idx="9">
                  <c:v>1.201981169324507</c:v>
                </c:pt>
                <c:pt idx="10">
                  <c:v>1.209863013057782</c:v>
                </c:pt>
                <c:pt idx="11">
                  <c:v>1.217744856791058</c:v>
                </c:pt>
                <c:pt idx="12">
                  <c:v>1.225626700524333</c:v>
                </c:pt>
                <c:pt idx="13">
                  <c:v>1.233508544257609</c:v>
                </c:pt>
                <c:pt idx="14">
                  <c:v>1.241390387990884</c:v>
                </c:pt>
                <c:pt idx="15">
                  <c:v>1.24927223172416</c:v>
                </c:pt>
                <c:pt idx="16">
                  <c:v>1.257154075457435</c:v>
                </c:pt>
                <c:pt idx="17">
                  <c:v>1.265035919190711</c:v>
                </c:pt>
                <c:pt idx="18">
                  <c:v>1.272917762923986</c:v>
                </c:pt>
                <c:pt idx="19">
                  <c:v>1.280799606657262</c:v>
                </c:pt>
                <c:pt idx="20">
                  <c:v>1.288681450390537</c:v>
                </c:pt>
                <c:pt idx="21">
                  <c:v>1.296563294123813</c:v>
                </c:pt>
                <c:pt idx="22">
                  <c:v>1.304445137857088</c:v>
                </c:pt>
                <c:pt idx="23">
                  <c:v>1.312326981590363</c:v>
                </c:pt>
                <c:pt idx="24">
                  <c:v>1.320208825323639</c:v>
                </c:pt>
                <c:pt idx="25">
                  <c:v>1.328090669056914</c:v>
                </c:pt>
                <c:pt idx="26">
                  <c:v>1.33597251279019</c:v>
                </c:pt>
                <c:pt idx="27">
                  <c:v>1.343854356523465</c:v>
                </c:pt>
                <c:pt idx="28">
                  <c:v>1.351736200256741</c:v>
                </c:pt>
                <c:pt idx="29">
                  <c:v>1.359618043990016</c:v>
                </c:pt>
                <c:pt idx="30">
                  <c:v>1.367499887723292</c:v>
                </c:pt>
                <c:pt idx="31">
                  <c:v>1.375381731456567</c:v>
                </c:pt>
                <c:pt idx="32">
                  <c:v>1.383263575189843</c:v>
                </c:pt>
                <c:pt idx="33">
                  <c:v>1.391145418923118</c:v>
                </c:pt>
                <c:pt idx="34">
                  <c:v>1.399027262656394</c:v>
                </c:pt>
                <c:pt idx="35">
                  <c:v>1.406909106389669</c:v>
                </c:pt>
                <c:pt idx="36">
                  <c:v>1.414790950122945</c:v>
                </c:pt>
                <c:pt idx="37">
                  <c:v>1.42267279385622</c:v>
                </c:pt>
                <c:pt idx="38">
                  <c:v>1.430554637589496</c:v>
                </c:pt>
                <c:pt idx="39">
                  <c:v>1.438436481322771</c:v>
                </c:pt>
                <c:pt idx="40">
                  <c:v>1.446318325056047</c:v>
                </c:pt>
                <c:pt idx="41">
                  <c:v>1.454200168789322</c:v>
                </c:pt>
              </c:numCache>
            </c:numRef>
          </c:xVal>
          <c:yVal>
            <c:numRef>
              <c:f>'J129'!$L$13:$L$54</c:f>
              <c:numCache>
                <c:formatCode>0.000</c:formatCode>
                <c:ptCount val="42"/>
                <c:pt idx="0">
                  <c:v>1.095372063227102</c:v>
                </c:pt>
                <c:pt idx="1">
                  <c:v>1.099638323198935</c:v>
                </c:pt>
                <c:pt idx="2">
                  <c:v>1.557244611252589</c:v>
                </c:pt>
                <c:pt idx="3">
                  <c:v>2.016519657755438</c:v>
                </c:pt>
                <c:pt idx="4">
                  <c:v>2.210326713306249</c:v>
                </c:pt>
                <c:pt idx="5">
                  <c:v>2.218499630716875</c:v>
                </c:pt>
                <c:pt idx="6">
                  <c:v>2.230815902119382</c:v>
                </c:pt>
                <c:pt idx="7">
                  <c:v>2.239521067606717</c:v>
                </c:pt>
                <c:pt idx="8">
                  <c:v>2.252025278888898</c:v>
                </c:pt>
                <c:pt idx="9">
                  <c:v>2.260121941803614</c:v>
                </c:pt>
                <c:pt idx="10">
                  <c:v>2.271808592593363</c:v>
                </c:pt>
                <c:pt idx="11">
                  <c:v>2.280534579020391</c:v>
                </c:pt>
                <c:pt idx="12">
                  <c:v>2.292831722146737</c:v>
                </c:pt>
                <c:pt idx="13">
                  <c:v>2.301535660035629</c:v>
                </c:pt>
                <c:pt idx="14">
                  <c:v>2.313600394574546</c:v>
                </c:pt>
                <c:pt idx="15">
                  <c:v>2.3218963650943</c:v>
                </c:pt>
                <c:pt idx="16">
                  <c:v>2.33405822364676</c:v>
                </c:pt>
                <c:pt idx="17">
                  <c:v>2.342400839538128</c:v>
                </c:pt>
                <c:pt idx="18">
                  <c:v>2.354550928833916</c:v>
                </c:pt>
                <c:pt idx="19">
                  <c:v>2.362778038298459</c:v>
                </c:pt>
                <c:pt idx="20">
                  <c:v>2.374263444207539</c:v>
                </c:pt>
                <c:pt idx="21">
                  <c:v>2.382207342675843</c:v>
                </c:pt>
                <c:pt idx="22">
                  <c:v>2.393614019884751</c:v>
                </c:pt>
                <c:pt idx="23">
                  <c:v>2.401368818457842</c:v>
                </c:pt>
                <c:pt idx="24">
                  <c:v>2.412615741531388</c:v>
                </c:pt>
                <c:pt idx="25">
                  <c:v>2.42027651186603</c:v>
                </c:pt>
                <c:pt idx="26">
                  <c:v>2.431055623664605</c:v>
                </c:pt>
                <c:pt idx="27">
                  <c:v>2.438647335637133</c:v>
                </c:pt>
                <c:pt idx="28">
                  <c:v>2.449261417180933</c:v>
                </c:pt>
                <c:pt idx="29">
                  <c:v>2.456286873632117</c:v>
                </c:pt>
                <c:pt idx="30">
                  <c:v>2.466120223538364</c:v>
                </c:pt>
                <c:pt idx="31">
                  <c:v>2.473709199331059</c:v>
                </c:pt>
                <c:pt idx="32">
                  <c:v>2.484049912240991</c:v>
                </c:pt>
                <c:pt idx="33">
                  <c:v>2.491686871863018</c:v>
                </c:pt>
                <c:pt idx="34">
                  <c:v>2.500060057581907</c:v>
                </c:pt>
                <c:pt idx="35">
                  <c:v>2.503989709850285</c:v>
                </c:pt>
                <c:pt idx="36">
                  <c:v>2.511913347427214</c:v>
                </c:pt>
                <c:pt idx="37">
                  <c:v>2.519958372881347</c:v>
                </c:pt>
                <c:pt idx="38">
                  <c:v>2.315692626313757</c:v>
                </c:pt>
                <c:pt idx="39">
                  <c:v>2.322844131283496</c:v>
                </c:pt>
                <c:pt idx="40">
                  <c:v>1.921899118061155</c:v>
                </c:pt>
                <c:pt idx="41">
                  <c:v>1.926817044047479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'W149'!$I$1:$J$1</c:f>
              <c:strCache>
                <c:ptCount val="1"/>
                <c:pt idx="0">
                  <c:v>W149</c:v>
                </c:pt>
              </c:strCache>
            </c:strRef>
          </c:tx>
          <c:marker>
            <c:symbol val="none"/>
          </c:marker>
          <c:xVal>
            <c:numRef>
              <c:f>'W149'!$A$13:$A$54</c:f>
              <c:numCache>
                <c:formatCode>0.0000</c:formatCode>
                <c:ptCount val="42"/>
                <c:pt idx="0" formatCode="General">
                  <c:v>0.927142857142857</c:v>
                </c:pt>
                <c:pt idx="1">
                  <c:v>0.953310104529617</c:v>
                </c:pt>
                <c:pt idx="2">
                  <c:v>0.979477351916376</c:v>
                </c:pt>
                <c:pt idx="3">
                  <c:v>1.005644599303136</c:v>
                </c:pt>
                <c:pt idx="4">
                  <c:v>1.031811846689896</c:v>
                </c:pt>
                <c:pt idx="5">
                  <c:v>1.057979094076655</c:v>
                </c:pt>
                <c:pt idx="6">
                  <c:v>1.084146341463415</c:v>
                </c:pt>
                <c:pt idx="7">
                  <c:v>1.110313588850174</c:v>
                </c:pt>
                <c:pt idx="8">
                  <c:v>1.136480836236934</c:v>
                </c:pt>
                <c:pt idx="9">
                  <c:v>1.162648083623693</c:v>
                </c:pt>
                <c:pt idx="10">
                  <c:v>1.188815331010453</c:v>
                </c:pt>
                <c:pt idx="11">
                  <c:v>1.214982578397213</c:v>
                </c:pt>
                <c:pt idx="12">
                  <c:v>1.241149825783972</c:v>
                </c:pt>
                <c:pt idx="13">
                  <c:v>1.267317073170732</c:v>
                </c:pt>
                <c:pt idx="14">
                  <c:v>1.293484320557491</c:v>
                </c:pt>
                <c:pt idx="15">
                  <c:v>1.319651567944251</c:v>
                </c:pt>
                <c:pt idx="16">
                  <c:v>1.34581881533101</c:v>
                </c:pt>
                <c:pt idx="17">
                  <c:v>1.37198606271777</c:v>
                </c:pt>
                <c:pt idx="18">
                  <c:v>1.39815331010453</c:v>
                </c:pt>
                <c:pt idx="19">
                  <c:v>1.424320557491289</c:v>
                </c:pt>
                <c:pt idx="20">
                  <c:v>1.450487804878049</c:v>
                </c:pt>
                <c:pt idx="21">
                  <c:v>1.476655052264808</c:v>
                </c:pt>
                <c:pt idx="22">
                  <c:v>1.502822299651568</c:v>
                </c:pt>
                <c:pt idx="23">
                  <c:v>1.528989547038327</c:v>
                </c:pt>
                <c:pt idx="24">
                  <c:v>1.555156794425087</c:v>
                </c:pt>
                <c:pt idx="25">
                  <c:v>1.581324041811847</c:v>
                </c:pt>
                <c:pt idx="26">
                  <c:v>1.607491289198606</c:v>
                </c:pt>
                <c:pt idx="27">
                  <c:v>1.633658536585366</c:v>
                </c:pt>
                <c:pt idx="28">
                  <c:v>1.659825783972125</c:v>
                </c:pt>
                <c:pt idx="29">
                  <c:v>1.685993031358885</c:v>
                </c:pt>
                <c:pt idx="30">
                  <c:v>1.712160278745644</c:v>
                </c:pt>
                <c:pt idx="31">
                  <c:v>1.738327526132404</c:v>
                </c:pt>
                <c:pt idx="32">
                  <c:v>1.764494773519164</c:v>
                </c:pt>
                <c:pt idx="33">
                  <c:v>1.790662020905923</c:v>
                </c:pt>
                <c:pt idx="34">
                  <c:v>1.816829268292683</c:v>
                </c:pt>
                <c:pt idx="35">
                  <c:v>1.842996515679442</c:v>
                </c:pt>
                <c:pt idx="36">
                  <c:v>1.869163763066202</c:v>
                </c:pt>
                <c:pt idx="37">
                  <c:v>1.895331010452961</c:v>
                </c:pt>
                <c:pt idx="38">
                  <c:v>1.921498257839721</c:v>
                </c:pt>
                <c:pt idx="39">
                  <c:v>1.947665505226481</c:v>
                </c:pt>
                <c:pt idx="40">
                  <c:v>1.97383275261324</c:v>
                </c:pt>
                <c:pt idx="41">
                  <c:v>2</c:v>
                </c:pt>
              </c:numCache>
            </c:numRef>
          </c:xVal>
          <c:yVal>
            <c:numRef>
              <c:f>'W149'!$L$13:$L$54</c:f>
              <c:numCache>
                <c:formatCode>0.000</c:formatCode>
                <c:ptCount val="42"/>
                <c:pt idx="0">
                  <c:v>0.67340456103417</c:v>
                </c:pt>
                <c:pt idx="1">
                  <c:v>1.937357489164128</c:v>
                </c:pt>
                <c:pt idx="2">
                  <c:v>1.934577423636462</c:v>
                </c:pt>
                <c:pt idx="3">
                  <c:v>1.93413591406351</c:v>
                </c:pt>
                <c:pt idx="4">
                  <c:v>1.958425740249945</c:v>
                </c:pt>
                <c:pt idx="5">
                  <c:v>1.981702294158928</c:v>
                </c:pt>
                <c:pt idx="6">
                  <c:v>2.008255758257065</c:v>
                </c:pt>
                <c:pt idx="7">
                  <c:v>2.036020480209255</c:v>
                </c:pt>
                <c:pt idx="8">
                  <c:v>2.070785442263341</c:v>
                </c:pt>
                <c:pt idx="9">
                  <c:v>2.101161299635117</c:v>
                </c:pt>
                <c:pt idx="10">
                  <c:v>2.132748007148606</c:v>
                </c:pt>
                <c:pt idx="11">
                  <c:v>2.16419796059995</c:v>
                </c:pt>
                <c:pt idx="12">
                  <c:v>2.199334416326636</c:v>
                </c:pt>
                <c:pt idx="13">
                  <c:v>2.230535205862156</c:v>
                </c:pt>
                <c:pt idx="14">
                  <c:v>2.2607012605147</c:v>
                </c:pt>
                <c:pt idx="15">
                  <c:v>2.293064720366103</c:v>
                </c:pt>
                <c:pt idx="16">
                  <c:v>2.321379299510461</c:v>
                </c:pt>
                <c:pt idx="17">
                  <c:v>2.347742880564166</c:v>
                </c:pt>
                <c:pt idx="18">
                  <c:v>2.373954350452421</c:v>
                </c:pt>
                <c:pt idx="19">
                  <c:v>2.39910653948002</c:v>
                </c:pt>
                <c:pt idx="20">
                  <c:v>2.425695627824536</c:v>
                </c:pt>
                <c:pt idx="21">
                  <c:v>2.447259241217443</c:v>
                </c:pt>
                <c:pt idx="22">
                  <c:v>2.464910480955702</c:v>
                </c:pt>
                <c:pt idx="23">
                  <c:v>2.483914712288236</c:v>
                </c:pt>
                <c:pt idx="24">
                  <c:v>2.50029949897509</c:v>
                </c:pt>
                <c:pt idx="25">
                  <c:v>2.514378234308033</c:v>
                </c:pt>
                <c:pt idx="26">
                  <c:v>2.529198824100512</c:v>
                </c:pt>
                <c:pt idx="27">
                  <c:v>2.542757252453377</c:v>
                </c:pt>
                <c:pt idx="28">
                  <c:v>2.553639865847603</c:v>
                </c:pt>
                <c:pt idx="29">
                  <c:v>2.564719154334616</c:v>
                </c:pt>
                <c:pt idx="30">
                  <c:v>2.576116335155471</c:v>
                </c:pt>
                <c:pt idx="31">
                  <c:v>2.584785285068615</c:v>
                </c:pt>
                <c:pt idx="32">
                  <c:v>2.593484378918896</c:v>
                </c:pt>
                <c:pt idx="33">
                  <c:v>2.600284627053678</c:v>
                </c:pt>
                <c:pt idx="34">
                  <c:v>2.601198553566658</c:v>
                </c:pt>
                <c:pt idx="35">
                  <c:v>2.606036706062696</c:v>
                </c:pt>
                <c:pt idx="36">
                  <c:v>2.61138799699932</c:v>
                </c:pt>
                <c:pt idx="37">
                  <c:v>2.614821177293148</c:v>
                </c:pt>
                <c:pt idx="38">
                  <c:v>2.619971159878129</c:v>
                </c:pt>
                <c:pt idx="39">
                  <c:v>2.629508129091663</c:v>
                </c:pt>
                <c:pt idx="40">
                  <c:v>2.311571055282391</c:v>
                </c:pt>
                <c:pt idx="41">
                  <c:v>2.313998630296526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'H158'!$I$1:$J$1</c:f>
              <c:strCache>
                <c:ptCount val="1"/>
                <c:pt idx="0">
                  <c:v>H158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'H158'!$A$13:$A$54</c:f>
              <c:numCache>
                <c:formatCode>0.0000</c:formatCode>
                <c:ptCount val="42"/>
                <c:pt idx="0" formatCode="General">
                  <c:v>1.37978934143899</c:v>
                </c:pt>
                <c:pt idx="1">
                  <c:v>1.389404598173756</c:v>
                </c:pt>
                <c:pt idx="2">
                  <c:v>1.399019854908523</c:v>
                </c:pt>
                <c:pt idx="3">
                  <c:v>1.408635111643289</c:v>
                </c:pt>
                <c:pt idx="4">
                  <c:v>1.418250368378056</c:v>
                </c:pt>
                <c:pt idx="5">
                  <c:v>1.427865625112822</c:v>
                </c:pt>
                <c:pt idx="6">
                  <c:v>1.437480881847589</c:v>
                </c:pt>
                <c:pt idx="7">
                  <c:v>1.447096138582355</c:v>
                </c:pt>
                <c:pt idx="8">
                  <c:v>1.456711395317122</c:v>
                </c:pt>
                <c:pt idx="9">
                  <c:v>1.466326652051888</c:v>
                </c:pt>
                <c:pt idx="10">
                  <c:v>1.475941908786655</c:v>
                </c:pt>
                <c:pt idx="11">
                  <c:v>1.485557165521421</c:v>
                </c:pt>
                <c:pt idx="12">
                  <c:v>1.495172422256188</c:v>
                </c:pt>
                <c:pt idx="13">
                  <c:v>1.504787678990954</c:v>
                </c:pt>
                <c:pt idx="14">
                  <c:v>1.514402935725721</c:v>
                </c:pt>
                <c:pt idx="15">
                  <c:v>1.524018192460487</c:v>
                </c:pt>
                <c:pt idx="16">
                  <c:v>1.533633449195254</c:v>
                </c:pt>
                <c:pt idx="17">
                  <c:v>1.54324870593002</c:v>
                </c:pt>
                <c:pt idx="18">
                  <c:v>1.552863962664787</c:v>
                </c:pt>
                <c:pt idx="19">
                  <c:v>1.562479219399553</c:v>
                </c:pt>
                <c:pt idx="20">
                  <c:v>1.57209447613432</c:v>
                </c:pt>
                <c:pt idx="21">
                  <c:v>1.581709732869086</c:v>
                </c:pt>
                <c:pt idx="22">
                  <c:v>1.591324989603853</c:v>
                </c:pt>
                <c:pt idx="23">
                  <c:v>1.600940246338619</c:v>
                </c:pt>
                <c:pt idx="24">
                  <c:v>1.610555503073385</c:v>
                </c:pt>
                <c:pt idx="25">
                  <c:v>1.620170759808152</c:v>
                </c:pt>
                <c:pt idx="26">
                  <c:v>1.629786016542918</c:v>
                </c:pt>
                <c:pt idx="27">
                  <c:v>1.639401273277685</c:v>
                </c:pt>
                <c:pt idx="28">
                  <c:v>1.649016530012451</c:v>
                </c:pt>
                <c:pt idx="29">
                  <c:v>1.658631786747218</c:v>
                </c:pt>
                <c:pt idx="30">
                  <c:v>1.668247043481984</c:v>
                </c:pt>
                <c:pt idx="31">
                  <c:v>1.677862300216751</c:v>
                </c:pt>
                <c:pt idx="32">
                  <c:v>1.687477556951517</c:v>
                </c:pt>
                <c:pt idx="33">
                  <c:v>1.697092813686284</c:v>
                </c:pt>
                <c:pt idx="34">
                  <c:v>1.70670807042105</c:v>
                </c:pt>
                <c:pt idx="35">
                  <c:v>1.716323327155817</c:v>
                </c:pt>
                <c:pt idx="36">
                  <c:v>1.725938583890583</c:v>
                </c:pt>
                <c:pt idx="37">
                  <c:v>1.73555384062535</c:v>
                </c:pt>
                <c:pt idx="38">
                  <c:v>1.745169097360116</c:v>
                </c:pt>
                <c:pt idx="39">
                  <c:v>1.754784354094883</c:v>
                </c:pt>
                <c:pt idx="40">
                  <c:v>1.764399610829649</c:v>
                </c:pt>
                <c:pt idx="41">
                  <c:v>1.774014867564416</c:v>
                </c:pt>
              </c:numCache>
            </c:numRef>
          </c:xVal>
          <c:yVal>
            <c:numRef>
              <c:f>'H158'!$L$13:$L$54</c:f>
              <c:numCache>
                <c:formatCode>0.000</c:formatCode>
                <c:ptCount val="42"/>
                <c:pt idx="0">
                  <c:v>0.894865042840613</c:v>
                </c:pt>
                <c:pt idx="1">
                  <c:v>1.320096864199601</c:v>
                </c:pt>
                <c:pt idx="2">
                  <c:v>1.747507312237093</c:v>
                </c:pt>
                <c:pt idx="3">
                  <c:v>2.175935155656368</c:v>
                </c:pt>
                <c:pt idx="4">
                  <c:v>2.515760636762826</c:v>
                </c:pt>
                <c:pt idx="5">
                  <c:v>2.527161847536637</c:v>
                </c:pt>
                <c:pt idx="6">
                  <c:v>2.539180390487397</c:v>
                </c:pt>
                <c:pt idx="7">
                  <c:v>2.548382682638401</c:v>
                </c:pt>
                <c:pt idx="8">
                  <c:v>2.557916974349598</c:v>
                </c:pt>
                <c:pt idx="9">
                  <c:v>2.566916909824575</c:v>
                </c:pt>
                <c:pt idx="10">
                  <c:v>2.574164694823154</c:v>
                </c:pt>
                <c:pt idx="11">
                  <c:v>2.581702431359763</c:v>
                </c:pt>
                <c:pt idx="12">
                  <c:v>2.588595584893985</c:v>
                </c:pt>
                <c:pt idx="13">
                  <c:v>2.595058558214484</c:v>
                </c:pt>
                <c:pt idx="14">
                  <c:v>2.601737255886576</c:v>
                </c:pt>
                <c:pt idx="15">
                  <c:v>2.608739334644764</c:v>
                </c:pt>
                <c:pt idx="16">
                  <c:v>2.615429569445537</c:v>
                </c:pt>
                <c:pt idx="17">
                  <c:v>2.622004178104505</c:v>
                </c:pt>
                <c:pt idx="18">
                  <c:v>2.628414954161068</c:v>
                </c:pt>
                <c:pt idx="19">
                  <c:v>2.63469133755987</c:v>
                </c:pt>
                <c:pt idx="20">
                  <c:v>2.640050016292203</c:v>
                </c:pt>
                <c:pt idx="21">
                  <c:v>2.645012250897617</c:v>
                </c:pt>
                <c:pt idx="22">
                  <c:v>2.650669050558589</c:v>
                </c:pt>
                <c:pt idx="23">
                  <c:v>2.657284938106251</c:v>
                </c:pt>
                <c:pt idx="24">
                  <c:v>2.662439169078511</c:v>
                </c:pt>
                <c:pt idx="25">
                  <c:v>2.667009928388821</c:v>
                </c:pt>
                <c:pt idx="26">
                  <c:v>2.673443490592842</c:v>
                </c:pt>
                <c:pt idx="27">
                  <c:v>2.677610649894364</c:v>
                </c:pt>
                <c:pt idx="28">
                  <c:v>2.681526721401852</c:v>
                </c:pt>
                <c:pt idx="29">
                  <c:v>2.686313712624981</c:v>
                </c:pt>
                <c:pt idx="30">
                  <c:v>2.691089571652534</c:v>
                </c:pt>
                <c:pt idx="31">
                  <c:v>2.695382769784182</c:v>
                </c:pt>
                <c:pt idx="32">
                  <c:v>2.699176905593556</c:v>
                </c:pt>
                <c:pt idx="33">
                  <c:v>2.70310562707741</c:v>
                </c:pt>
                <c:pt idx="34">
                  <c:v>2.707457872044641</c:v>
                </c:pt>
                <c:pt idx="35">
                  <c:v>2.711297452456585</c:v>
                </c:pt>
                <c:pt idx="36">
                  <c:v>2.714477361026689</c:v>
                </c:pt>
                <c:pt idx="37">
                  <c:v>2.717742329414743</c:v>
                </c:pt>
                <c:pt idx="38">
                  <c:v>2.649831961729784</c:v>
                </c:pt>
                <c:pt idx="39">
                  <c:v>2.295116349209373</c:v>
                </c:pt>
                <c:pt idx="40">
                  <c:v>1.938818462758874</c:v>
                </c:pt>
                <c:pt idx="41">
                  <c:v>1.940559910404946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'F184'!$I$1:$J$1</c:f>
              <c:strCache>
                <c:ptCount val="1"/>
                <c:pt idx="0">
                  <c:v>F184</c:v>
                </c:pt>
              </c:strCache>
            </c:strRef>
          </c:tx>
          <c:marker>
            <c:symbol val="none"/>
          </c:marker>
          <c:xVal>
            <c:numRef>
              <c:f>'F184'!$A$13:$A$54</c:f>
              <c:numCache>
                <c:formatCode>0.0000</c:formatCode>
                <c:ptCount val="42"/>
                <c:pt idx="0" formatCode="General">
                  <c:v>1.683239252996061</c:v>
                </c:pt>
                <c:pt idx="1">
                  <c:v>1.690965124874206</c:v>
                </c:pt>
                <c:pt idx="2">
                  <c:v>1.69869099675235</c:v>
                </c:pt>
                <c:pt idx="3">
                  <c:v>1.706416868630495</c:v>
                </c:pt>
                <c:pt idx="4">
                  <c:v>1.71414274050864</c:v>
                </c:pt>
                <c:pt idx="5">
                  <c:v>1.721868612386785</c:v>
                </c:pt>
                <c:pt idx="6">
                  <c:v>1.729594484264929</c:v>
                </c:pt>
                <c:pt idx="7">
                  <c:v>1.737320356143074</c:v>
                </c:pt>
                <c:pt idx="8">
                  <c:v>1.74504622802122</c:v>
                </c:pt>
                <c:pt idx="9">
                  <c:v>1.752772099899364</c:v>
                </c:pt>
                <c:pt idx="10">
                  <c:v>1.760497971777509</c:v>
                </c:pt>
                <c:pt idx="11">
                  <c:v>1.768223843655653</c:v>
                </c:pt>
                <c:pt idx="12">
                  <c:v>1.775949715533798</c:v>
                </c:pt>
                <c:pt idx="13">
                  <c:v>1.783675587411943</c:v>
                </c:pt>
                <c:pt idx="14">
                  <c:v>1.791401459290088</c:v>
                </c:pt>
                <c:pt idx="15">
                  <c:v>1.799127331168232</c:v>
                </c:pt>
                <c:pt idx="16">
                  <c:v>1.806853203046377</c:v>
                </c:pt>
                <c:pt idx="17">
                  <c:v>1.814579074924522</c:v>
                </c:pt>
                <c:pt idx="18">
                  <c:v>1.822304946802667</c:v>
                </c:pt>
                <c:pt idx="19">
                  <c:v>1.830030818680812</c:v>
                </c:pt>
                <c:pt idx="20">
                  <c:v>1.837756690558956</c:v>
                </c:pt>
                <c:pt idx="21">
                  <c:v>1.845482562437101</c:v>
                </c:pt>
                <c:pt idx="22">
                  <c:v>1.853208434315246</c:v>
                </c:pt>
                <c:pt idx="23">
                  <c:v>1.860934306193391</c:v>
                </c:pt>
                <c:pt idx="24">
                  <c:v>1.868660178071535</c:v>
                </c:pt>
                <c:pt idx="25">
                  <c:v>1.87638604994968</c:v>
                </c:pt>
                <c:pt idx="26">
                  <c:v>1.884111921827825</c:v>
                </c:pt>
                <c:pt idx="27">
                  <c:v>1.89183779370597</c:v>
                </c:pt>
                <c:pt idx="28">
                  <c:v>1.899563665584115</c:v>
                </c:pt>
                <c:pt idx="29">
                  <c:v>1.907289537462259</c:v>
                </c:pt>
                <c:pt idx="30">
                  <c:v>1.915015409340404</c:v>
                </c:pt>
                <c:pt idx="31">
                  <c:v>1.922741281218549</c:v>
                </c:pt>
                <c:pt idx="32">
                  <c:v>1.930467153096694</c:v>
                </c:pt>
                <c:pt idx="33">
                  <c:v>1.938193024974838</c:v>
                </c:pt>
                <c:pt idx="34">
                  <c:v>1.945918896852983</c:v>
                </c:pt>
                <c:pt idx="35">
                  <c:v>1.953644768731128</c:v>
                </c:pt>
                <c:pt idx="36">
                  <c:v>1.961370640609273</c:v>
                </c:pt>
                <c:pt idx="37">
                  <c:v>1.969096512487418</c:v>
                </c:pt>
                <c:pt idx="38">
                  <c:v>1.976822384365562</c:v>
                </c:pt>
                <c:pt idx="39">
                  <c:v>1.984548256243707</c:v>
                </c:pt>
                <c:pt idx="40">
                  <c:v>1.992274128121852</c:v>
                </c:pt>
                <c:pt idx="41">
                  <c:v>1.999999999999997</c:v>
                </c:pt>
              </c:numCache>
            </c:numRef>
          </c:xVal>
          <c:yVal>
            <c:numRef>
              <c:f>'F184'!$L$13:$L$54</c:f>
              <c:numCache>
                <c:formatCode>0.000</c:formatCode>
                <c:ptCount val="42"/>
                <c:pt idx="0">
                  <c:v>1.234193908935441</c:v>
                </c:pt>
                <c:pt idx="1">
                  <c:v>1.591798682362965</c:v>
                </c:pt>
                <c:pt idx="2">
                  <c:v>1.593319556658574</c:v>
                </c:pt>
                <c:pt idx="3">
                  <c:v>1.952582996054666</c:v>
                </c:pt>
                <c:pt idx="4">
                  <c:v>2.311679090396754</c:v>
                </c:pt>
                <c:pt idx="5">
                  <c:v>2.579458588238457</c:v>
                </c:pt>
                <c:pt idx="6">
                  <c:v>2.581530270773796</c:v>
                </c:pt>
                <c:pt idx="7">
                  <c:v>2.583840847626222</c:v>
                </c:pt>
                <c:pt idx="8">
                  <c:v>2.586976981105373</c:v>
                </c:pt>
                <c:pt idx="9">
                  <c:v>2.589610196011221</c:v>
                </c:pt>
                <c:pt idx="10">
                  <c:v>2.592655430985024</c:v>
                </c:pt>
                <c:pt idx="11">
                  <c:v>2.594667948791813</c:v>
                </c:pt>
                <c:pt idx="12">
                  <c:v>2.59650413853356</c:v>
                </c:pt>
                <c:pt idx="13">
                  <c:v>2.598405563691222</c:v>
                </c:pt>
                <c:pt idx="14">
                  <c:v>2.600921847592872</c:v>
                </c:pt>
                <c:pt idx="15">
                  <c:v>2.60213329227902</c:v>
                </c:pt>
                <c:pt idx="16">
                  <c:v>2.601138308631282</c:v>
                </c:pt>
                <c:pt idx="17">
                  <c:v>2.600870755578714</c:v>
                </c:pt>
                <c:pt idx="18">
                  <c:v>2.602182475454693</c:v>
                </c:pt>
                <c:pt idx="19">
                  <c:v>2.603865864107239</c:v>
                </c:pt>
                <c:pt idx="20">
                  <c:v>2.605065711718378</c:v>
                </c:pt>
                <c:pt idx="21">
                  <c:v>2.606409705690138</c:v>
                </c:pt>
                <c:pt idx="22">
                  <c:v>2.607502667359168</c:v>
                </c:pt>
                <c:pt idx="23">
                  <c:v>2.609323738943908</c:v>
                </c:pt>
                <c:pt idx="24">
                  <c:v>2.61138799699932</c:v>
                </c:pt>
                <c:pt idx="25">
                  <c:v>2.613293691354622</c:v>
                </c:pt>
                <c:pt idx="26">
                  <c:v>2.614571089267343</c:v>
                </c:pt>
                <c:pt idx="27">
                  <c:v>2.614804920917155</c:v>
                </c:pt>
                <c:pt idx="28">
                  <c:v>2.615507229890941</c:v>
                </c:pt>
                <c:pt idx="29">
                  <c:v>2.616692616440209</c:v>
                </c:pt>
                <c:pt idx="30">
                  <c:v>2.618406336740277</c:v>
                </c:pt>
                <c:pt idx="31">
                  <c:v>2.620178465926406</c:v>
                </c:pt>
                <c:pt idx="32">
                  <c:v>2.621739274109576</c:v>
                </c:pt>
                <c:pt idx="33">
                  <c:v>2.624999206179376</c:v>
                </c:pt>
                <c:pt idx="34">
                  <c:v>2.628330411205724</c:v>
                </c:pt>
                <c:pt idx="35">
                  <c:v>2.633000349497215</c:v>
                </c:pt>
                <c:pt idx="36">
                  <c:v>2.61695822025851</c:v>
                </c:pt>
                <c:pt idx="37">
                  <c:v>2.618691850371444</c:v>
                </c:pt>
                <c:pt idx="38">
                  <c:v>2.312229993888996</c:v>
                </c:pt>
                <c:pt idx="39">
                  <c:v>2.004987336762835</c:v>
                </c:pt>
                <c:pt idx="40">
                  <c:v>1.697550741522029</c:v>
                </c:pt>
                <c:pt idx="41">
                  <c:v>1.697858854862207</c:v>
                </c:pt>
              </c:numCache>
            </c:numRef>
          </c:yVal>
          <c:smooth val="1"/>
        </c:ser>
        <c:ser>
          <c:idx val="1"/>
          <c:order val="7"/>
          <c:tx>
            <c:strRef>
              <c:f>GRS!$H$1</c:f>
              <c:strCache>
                <c:ptCount val="1"/>
                <c:pt idx="0">
                  <c:v>GRS</c:v>
                </c:pt>
              </c:strCache>
            </c:strRef>
          </c:tx>
          <c:spPr>
            <a:ln>
              <a:gradFill flip="none" rotWithShape="1"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0" scaled="1"/>
                <a:tileRect/>
              </a:gradFill>
              <a:prstDash val="sysDot"/>
            </a:ln>
          </c:spPr>
          <c:marker>
            <c:symbol val="none"/>
          </c:marker>
          <c:xVal>
            <c:numRef>
              <c:f>GRS!$A$13:$A$54</c:f>
              <c:numCache>
                <c:formatCode>0.0000</c:formatCode>
                <c:ptCount val="42"/>
                <c:pt idx="0" formatCode="General">
                  <c:v>1.35</c:v>
                </c:pt>
                <c:pt idx="1">
                  <c:v>1.364634146341463</c:v>
                </c:pt>
                <c:pt idx="2">
                  <c:v>1.379268292682927</c:v>
                </c:pt>
                <c:pt idx="3">
                  <c:v>1.39390243902439</c:v>
                </c:pt>
                <c:pt idx="4">
                  <c:v>1.408536585365854</c:v>
                </c:pt>
                <c:pt idx="5">
                  <c:v>1.423170731707317</c:v>
                </c:pt>
                <c:pt idx="6">
                  <c:v>1.437804878048781</c:v>
                </c:pt>
                <c:pt idx="7">
                  <c:v>1.452439024390244</c:v>
                </c:pt>
                <c:pt idx="8">
                  <c:v>1.467073170731707</c:v>
                </c:pt>
                <c:pt idx="9">
                  <c:v>1.481707317073171</c:v>
                </c:pt>
                <c:pt idx="10">
                  <c:v>1.496341463414634</c:v>
                </c:pt>
                <c:pt idx="11">
                  <c:v>1.510975609756098</c:v>
                </c:pt>
                <c:pt idx="12">
                  <c:v>1.525609756097561</c:v>
                </c:pt>
                <c:pt idx="13">
                  <c:v>1.540243902439025</c:v>
                </c:pt>
                <c:pt idx="14">
                  <c:v>1.554878048780488</c:v>
                </c:pt>
                <c:pt idx="15">
                  <c:v>1.569512195121951</c:v>
                </c:pt>
                <c:pt idx="16">
                  <c:v>1.584146341463415</c:v>
                </c:pt>
                <c:pt idx="17">
                  <c:v>1.598780487804878</c:v>
                </c:pt>
                <c:pt idx="18">
                  <c:v>1.613414634146342</c:v>
                </c:pt>
                <c:pt idx="19">
                  <c:v>1.628048780487805</c:v>
                </c:pt>
                <c:pt idx="20">
                  <c:v>1.642682926829269</c:v>
                </c:pt>
                <c:pt idx="21">
                  <c:v>1.657317073170732</c:v>
                </c:pt>
                <c:pt idx="22">
                  <c:v>1.671951219512195</c:v>
                </c:pt>
                <c:pt idx="23">
                  <c:v>1.686585365853659</c:v>
                </c:pt>
                <c:pt idx="24">
                  <c:v>1.701219512195122</c:v>
                </c:pt>
                <c:pt idx="25">
                  <c:v>1.715853658536586</c:v>
                </c:pt>
                <c:pt idx="26">
                  <c:v>1.73048780487805</c:v>
                </c:pt>
                <c:pt idx="27">
                  <c:v>1.745121951219513</c:v>
                </c:pt>
                <c:pt idx="28">
                  <c:v>1.759756097560976</c:v>
                </c:pt>
                <c:pt idx="29">
                  <c:v>1.774390243902439</c:v>
                </c:pt>
                <c:pt idx="30">
                  <c:v>1.789024390243903</c:v>
                </c:pt>
                <c:pt idx="31">
                  <c:v>1.803658536585366</c:v>
                </c:pt>
                <c:pt idx="32">
                  <c:v>1.81829268292683</c:v>
                </c:pt>
                <c:pt idx="33">
                  <c:v>1.832926829268293</c:v>
                </c:pt>
                <c:pt idx="34">
                  <c:v>1.847560975609757</c:v>
                </c:pt>
                <c:pt idx="35">
                  <c:v>1.86219512195122</c:v>
                </c:pt>
                <c:pt idx="36">
                  <c:v>1.876829268292683</c:v>
                </c:pt>
                <c:pt idx="37">
                  <c:v>1.891463414634147</c:v>
                </c:pt>
                <c:pt idx="38">
                  <c:v>1.90609756097561</c:v>
                </c:pt>
                <c:pt idx="39">
                  <c:v>1.920731707317074</c:v>
                </c:pt>
                <c:pt idx="40">
                  <c:v>1.935365853658537</c:v>
                </c:pt>
                <c:pt idx="41">
                  <c:v>1.950000000000001</c:v>
                </c:pt>
              </c:numCache>
            </c:numRef>
          </c:xVal>
          <c:yVal>
            <c:numRef>
              <c:f>GRS!$K$13:$K$54</c:f>
              <c:numCache>
                <c:formatCode>0.000</c:formatCode>
                <c:ptCount val="42"/>
                <c:pt idx="0">
                  <c:v>1.233071741142586</c:v>
                </c:pt>
                <c:pt idx="1">
                  <c:v>1.241512051966358</c:v>
                </c:pt>
                <c:pt idx="2">
                  <c:v>1.326662485383216</c:v>
                </c:pt>
                <c:pt idx="3">
                  <c:v>1.414153896045357</c:v>
                </c:pt>
                <c:pt idx="4">
                  <c:v>1.464842638776324</c:v>
                </c:pt>
                <c:pt idx="5">
                  <c:v>1.537515229554926</c:v>
                </c:pt>
                <c:pt idx="6">
                  <c:v>1.61297788709524</c:v>
                </c:pt>
                <c:pt idx="7">
                  <c:v>1.657524963597536</c:v>
                </c:pt>
                <c:pt idx="8">
                  <c:v>1.70390312034132</c:v>
                </c:pt>
                <c:pt idx="9">
                  <c:v>1.744215432167965</c:v>
                </c:pt>
                <c:pt idx="10">
                  <c:v>1.773806479277266</c:v>
                </c:pt>
                <c:pt idx="11">
                  <c:v>1.791029932236109</c:v>
                </c:pt>
                <c:pt idx="12">
                  <c:v>1.816550654522907</c:v>
                </c:pt>
                <c:pt idx="13">
                  <c:v>1.841016593730785</c:v>
                </c:pt>
                <c:pt idx="14">
                  <c:v>1.856132086735765</c:v>
                </c:pt>
                <c:pt idx="15">
                  <c:v>1.866601128885076</c:v>
                </c:pt>
                <c:pt idx="16">
                  <c:v>1.882285655119447</c:v>
                </c:pt>
                <c:pt idx="17">
                  <c:v>1.889052265107898</c:v>
                </c:pt>
                <c:pt idx="18">
                  <c:v>1.891198819885335</c:v>
                </c:pt>
                <c:pt idx="19">
                  <c:v>1.899111078008779</c:v>
                </c:pt>
                <c:pt idx="20">
                  <c:v>1.896282129671838</c:v>
                </c:pt>
                <c:pt idx="21">
                  <c:v>1.890853372383408</c:v>
                </c:pt>
                <c:pt idx="22">
                  <c:v>1.899279464464597</c:v>
                </c:pt>
                <c:pt idx="23">
                  <c:v>1.89716789905101</c:v>
                </c:pt>
                <c:pt idx="24">
                  <c:v>1.901076490382373</c:v>
                </c:pt>
                <c:pt idx="25">
                  <c:v>1.903340862857563</c:v>
                </c:pt>
                <c:pt idx="26">
                  <c:v>1.895267975528307</c:v>
                </c:pt>
                <c:pt idx="27">
                  <c:v>1.893828742599074</c:v>
                </c:pt>
                <c:pt idx="28">
                  <c:v>1.890993111361863</c:v>
                </c:pt>
                <c:pt idx="29">
                  <c:v>1.877945701123472</c:v>
                </c:pt>
                <c:pt idx="30">
                  <c:v>1.871607350056399</c:v>
                </c:pt>
                <c:pt idx="31">
                  <c:v>1.851274260369091</c:v>
                </c:pt>
                <c:pt idx="32">
                  <c:v>1.832294802678664</c:v>
                </c:pt>
                <c:pt idx="33">
                  <c:v>1.81129591679102</c:v>
                </c:pt>
                <c:pt idx="34">
                  <c:v>1.78917850353335</c:v>
                </c:pt>
                <c:pt idx="35">
                  <c:v>1.770298440645993</c:v>
                </c:pt>
                <c:pt idx="36">
                  <c:v>1.748111240770662</c:v>
                </c:pt>
                <c:pt idx="37">
                  <c:v>1.706682319106291</c:v>
                </c:pt>
                <c:pt idx="38">
                  <c:v>1.685532127459202</c:v>
                </c:pt>
                <c:pt idx="39">
                  <c:v>1.64529633482256</c:v>
                </c:pt>
                <c:pt idx="40">
                  <c:v>1.605723688212406</c:v>
                </c:pt>
                <c:pt idx="41">
                  <c:v>1.569517589714605</c:v>
                </c:pt>
              </c:numCache>
            </c:numRef>
          </c:yVal>
          <c:smooth val="1"/>
        </c:ser>
        <c:ser>
          <c:idx val="2"/>
          <c:order val="8"/>
          <c:tx>
            <c:strRef>
              <c:f>IFU!$I$1</c:f>
              <c:strCache>
                <c:ptCount val="1"/>
                <c:pt idx="0">
                  <c:v>IFU</c:v>
                </c:pt>
              </c:strCache>
            </c:strRef>
          </c:tx>
          <c:spPr>
            <a:ln>
              <a:gradFill flip="none" rotWithShape="1">
                <a:gsLst>
                  <a:gs pos="0">
                    <a:srgbClr val="A603AB"/>
                  </a:gs>
                  <a:gs pos="21001">
                    <a:srgbClr val="0819FB"/>
                  </a:gs>
                  <a:gs pos="35001">
                    <a:srgbClr val="1A8D48"/>
                  </a:gs>
                  <a:gs pos="52000">
                    <a:srgbClr val="FFFF00"/>
                  </a:gs>
                  <a:gs pos="73000">
                    <a:srgbClr val="EE3F17"/>
                  </a:gs>
                  <a:gs pos="88000">
                    <a:srgbClr val="E81766"/>
                  </a:gs>
                  <a:gs pos="100000">
                    <a:srgbClr val="A603AB"/>
                  </a:gs>
                </a:gsLst>
                <a:lin ang="0" scaled="1"/>
                <a:tileRect/>
              </a:gradFill>
              <a:prstDash val="dash"/>
            </a:ln>
          </c:spPr>
          <c:marker>
            <c:symbol val="none"/>
          </c:marker>
          <c:xVal>
            <c:numRef>
              <c:f>IFU!$A$13:$A$54</c:f>
              <c:numCache>
                <c:formatCode>0.0000</c:formatCode>
                <c:ptCount val="42"/>
                <c:pt idx="0" formatCode="General">
                  <c:v>0.6</c:v>
                </c:pt>
                <c:pt idx="1">
                  <c:v>0.634146341463415</c:v>
                </c:pt>
                <c:pt idx="2">
                  <c:v>0.668292682926829</c:v>
                </c:pt>
                <c:pt idx="3">
                  <c:v>0.702439024390244</c:v>
                </c:pt>
                <c:pt idx="4">
                  <c:v>0.736585365853659</c:v>
                </c:pt>
                <c:pt idx="5">
                  <c:v>0.770731707317073</c:v>
                </c:pt>
                <c:pt idx="6">
                  <c:v>0.804878048780488</c:v>
                </c:pt>
                <c:pt idx="7">
                  <c:v>0.839024390243903</c:v>
                </c:pt>
                <c:pt idx="8">
                  <c:v>0.873170731707317</c:v>
                </c:pt>
                <c:pt idx="9">
                  <c:v>0.907317073170732</c:v>
                </c:pt>
                <c:pt idx="10">
                  <c:v>0.941463414634147</c:v>
                </c:pt>
                <c:pt idx="11">
                  <c:v>0.975609756097561</c:v>
                </c:pt>
                <c:pt idx="12">
                  <c:v>1.009756097560976</c:v>
                </c:pt>
                <c:pt idx="13">
                  <c:v>1.04390243902439</c:v>
                </c:pt>
                <c:pt idx="14">
                  <c:v>1.078048780487805</c:v>
                </c:pt>
                <c:pt idx="15">
                  <c:v>1.11219512195122</c:v>
                </c:pt>
                <c:pt idx="16">
                  <c:v>1.146341463414634</c:v>
                </c:pt>
                <c:pt idx="17">
                  <c:v>1.18048780487805</c:v>
                </c:pt>
                <c:pt idx="18">
                  <c:v>1.214634146341464</c:v>
                </c:pt>
                <c:pt idx="19">
                  <c:v>1.248780487804878</c:v>
                </c:pt>
                <c:pt idx="20">
                  <c:v>1.282926829268293</c:v>
                </c:pt>
                <c:pt idx="21">
                  <c:v>1.317073170731708</c:v>
                </c:pt>
                <c:pt idx="22">
                  <c:v>1.351219512195122</c:v>
                </c:pt>
                <c:pt idx="23">
                  <c:v>1.385365853658537</c:v>
                </c:pt>
                <c:pt idx="24">
                  <c:v>1.419512195121952</c:v>
                </c:pt>
                <c:pt idx="25">
                  <c:v>1.453658536585366</c:v>
                </c:pt>
                <c:pt idx="26">
                  <c:v>1.487804878048781</c:v>
                </c:pt>
                <c:pt idx="27">
                  <c:v>1.521951219512196</c:v>
                </c:pt>
                <c:pt idx="28">
                  <c:v>1.55609756097561</c:v>
                </c:pt>
                <c:pt idx="29">
                  <c:v>1.590243902439025</c:v>
                </c:pt>
                <c:pt idx="30">
                  <c:v>1.62439024390244</c:v>
                </c:pt>
                <c:pt idx="31">
                  <c:v>1.658536585365854</c:v>
                </c:pt>
                <c:pt idx="32">
                  <c:v>1.69268292682927</c:v>
                </c:pt>
                <c:pt idx="33">
                  <c:v>1.726829268292684</c:v>
                </c:pt>
                <c:pt idx="34">
                  <c:v>1.760975609756098</c:v>
                </c:pt>
                <c:pt idx="35">
                  <c:v>1.795121951219513</c:v>
                </c:pt>
                <c:pt idx="36">
                  <c:v>1.829268292682928</c:v>
                </c:pt>
                <c:pt idx="37">
                  <c:v>1.863414634146342</c:v>
                </c:pt>
                <c:pt idx="38">
                  <c:v>1.897560975609757</c:v>
                </c:pt>
                <c:pt idx="39">
                  <c:v>1.931707317073172</c:v>
                </c:pt>
                <c:pt idx="40">
                  <c:v>1.965853658536586</c:v>
                </c:pt>
                <c:pt idx="41">
                  <c:v>2.000000000000001</c:v>
                </c:pt>
              </c:numCache>
            </c:numRef>
          </c:xVal>
          <c:yVal>
            <c:numRef>
              <c:f>IFU!$L$13:$L$54</c:f>
              <c:numCache>
                <c:formatCode>0.000</c:formatCode>
                <c:ptCount val="42"/>
                <c:pt idx="0">
                  <c:v>1.671412346603678</c:v>
                </c:pt>
                <c:pt idx="1">
                  <c:v>1.684000112013471</c:v>
                </c:pt>
                <c:pt idx="2">
                  <c:v>1.685434490884032</c:v>
                </c:pt>
                <c:pt idx="3">
                  <c:v>1.670245310720203</c:v>
                </c:pt>
                <c:pt idx="4">
                  <c:v>1.602145138504463</c:v>
                </c:pt>
                <c:pt idx="5">
                  <c:v>1.55931554898492</c:v>
                </c:pt>
                <c:pt idx="6">
                  <c:v>1.536415452306969</c:v>
                </c:pt>
                <c:pt idx="7">
                  <c:v>1.50632283069819</c:v>
                </c:pt>
                <c:pt idx="8">
                  <c:v>1.487789114633404</c:v>
                </c:pt>
                <c:pt idx="9">
                  <c:v>1.466968311897029</c:v>
                </c:pt>
                <c:pt idx="10">
                  <c:v>1.450826441245871</c:v>
                </c:pt>
                <c:pt idx="11">
                  <c:v>1.44198551615744</c:v>
                </c:pt>
                <c:pt idx="12">
                  <c:v>1.441494031895371</c:v>
                </c:pt>
                <c:pt idx="13">
                  <c:v>1.459904689413486</c:v>
                </c:pt>
                <c:pt idx="14">
                  <c:v>1.48150844830723</c:v>
                </c:pt>
                <c:pt idx="15">
                  <c:v>1.509182065987093</c:v>
                </c:pt>
                <c:pt idx="16">
                  <c:v>1.546526075489403</c:v>
                </c:pt>
                <c:pt idx="17">
                  <c:v>1.580234728707432</c:v>
                </c:pt>
                <c:pt idx="18">
                  <c:v>1.612481531942713</c:v>
                </c:pt>
                <c:pt idx="19">
                  <c:v>1.65269754790798</c:v>
                </c:pt>
                <c:pt idx="20">
                  <c:v>1.689391664555199</c:v>
                </c:pt>
                <c:pt idx="21">
                  <c:v>1.722847925216359</c:v>
                </c:pt>
                <c:pt idx="22">
                  <c:v>1.763694136146386</c:v>
                </c:pt>
                <c:pt idx="23">
                  <c:v>1.800671292126575</c:v>
                </c:pt>
                <c:pt idx="24">
                  <c:v>1.82929356654633</c:v>
                </c:pt>
                <c:pt idx="25">
                  <c:v>1.879962957978136</c:v>
                </c:pt>
                <c:pt idx="26">
                  <c:v>1.911855401758668</c:v>
                </c:pt>
                <c:pt idx="27">
                  <c:v>1.940154314954823</c:v>
                </c:pt>
                <c:pt idx="28">
                  <c:v>1.973516397252411</c:v>
                </c:pt>
                <c:pt idx="29">
                  <c:v>1.994490255353421</c:v>
                </c:pt>
                <c:pt idx="30">
                  <c:v>2.022674765627208</c:v>
                </c:pt>
                <c:pt idx="31">
                  <c:v>2.03751575063132</c:v>
                </c:pt>
                <c:pt idx="32">
                  <c:v>2.055252502924184</c:v>
                </c:pt>
                <c:pt idx="33">
                  <c:v>2.069003952076536</c:v>
                </c:pt>
                <c:pt idx="34">
                  <c:v>2.082754980703692</c:v>
                </c:pt>
                <c:pt idx="35">
                  <c:v>2.094071033331892</c:v>
                </c:pt>
                <c:pt idx="36">
                  <c:v>2.0849375370499</c:v>
                </c:pt>
                <c:pt idx="37">
                  <c:v>2.073871920737207</c:v>
                </c:pt>
                <c:pt idx="38">
                  <c:v>2.079842855854136</c:v>
                </c:pt>
                <c:pt idx="39">
                  <c:v>2.072876349079052</c:v>
                </c:pt>
                <c:pt idx="40">
                  <c:v>2.087490770177935</c:v>
                </c:pt>
                <c:pt idx="41">
                  <c:v>1.73563741307536</c:v>
                </c:pt>
              </c:numCache>
            </c:numRef>
          </c:yVal>
          <c:smooth val="1"/>
        </c:ser>
        <c:dLbls/>
        <c:axId val="576218648"/>
        <c:axId val="576224504"/>
      </c:scatterChart>
      <c:valAx>
        <c:axId val="576218648"/>
        <c:scaling>
          <c:orientation val="minMax"/>
          <c:min val="0.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</c:title>
        <c:numFmt formatCode="General" sourceLinked="1"/>
        <c:tickLblPos val="nextTo"/>
        <c:crossAx val="576224504"/>
        <c:crosses val="autoZero"/>
        <c:crossBetween val="midCat"/>
        <c:majorUnit val="0.2"/>
      </c:valAx>
      <c:valAx>
        <c:axId val="576224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Effective Area (m2)</a:t>
                </a:r>
              </a:p>
            </c:rich>
          </c:tx>
        </c:title>
        <c:numFmt formatCode="0.0" sourceLinked="0"/>
        <c:tickLblPos val="nextTo"/>
        <c:crossAx val="576218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620571836804"/>
          <c:y val="0.658272625741421"/>
          <c:w val="0.64557238037553"/>
          <c:h val="0.23039359559013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42335566263172"/>
          <c:y val="0.031204383600448"/>
          <c:w val="0.809055118110236"/>
          <c:h val="0.83523544590653"/>
        </c:manualLayout>
      </c:layout>
      <c:scatterChart>
        <c:scatterStyle val="smoothMarker"/>
        <c:ser>
          <c:idx val="0"/>
          <c:order val="0"/>
          <c:tx>
            <c:strRef>
              <c:f>'cycle4 AFTA filters 2'!$B$33</c:f>
              <c:strCache>
                <c:ptCount val="1"/>
                <c:pt idx="0">
                  <c:v>F184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'cycle4 AFTA filters 2'!$A$34:$A$181</c:f>
              <c:numCache>
                <c:formatCode>General</c:formatCode>
                <c:ptCount val="148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1.0</c:v>
                </c:pt>
                <c:pt idx="41">
                  <c:v>1.01</c:v>
                </c:pt>
                <c:pt idx="42">
                  <c:v>1.02</c:v>
                </c:pt>
                <c:pt idx="43">
                  <c:v>1.03</c:v>
                </c:pt>
                <c:pt idx="44">
                  <c:v>1.04</c:v>
                </c:pt>
                <c:pt idx="45">
                  <c:v>1.05</c:v>
                </c:pt>
                <c:pt idx="46">
                  <c:v>1.06</c:v>
                </c:pt>
                <c:pt idx="47">
                  <c:v>1.07</c:v>
                </c:pt>
                <c:pt idx="48">
                  <c:v>1.08</c:v>
                </c:pt>
                <c:pt idx="49">
                  <c:v>1.09</c:v>
                </c:pt>
                <c:pt idx="50">
                  <c:v>1.1</c:v>
                </c:pt>
                <c:pt idx="51">
                  <c:v>1.11</c:v>
                </c:pt>
                <c:pt idx="52">
                  <c:v>1.12</c:v>
                </c:pt>
                <c:pt idx="53">
                  <c:v>1.13</c:v>
                </c:pt>
                <c:pt idx="54">
                  <c:v>1.14</c:v>
                </c:pt>
                <c:pt idx="55">
                  <c:v>1.15</c:v>
                </c:pt>
                <c:pt idx="56">
                  <c:v>1.16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1.2</c:v>
                </c:pt>
                <c:pt idx="61">
                  <c:v>1.21</c:v>
                </c:pt>
                <c:pt idx="62">
                  <c:v>1.22</c:v>
                </c:pt>
                <c:pt idx="63">
                  <c:v>1.23</c:v>
                </c:pt>
                <c:pt idx="64">
                  <c:v>1.24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1.3</c:v>
                </c:pt>
                <c:pt idx="71">
                  <c:v>1.31</c:v>
                </c:pt>
                <c:pt idx="72">
                  <c:v>1.32</c:v>
                </c:pt>
                <c:pt idx="73">
                  <c:v>1.33</c:v>
                </c:pt>
                <c:pt idx="74">
                  <c:v>1.34</c:v>
                </c:pt>
                <c:pt idx="75">
                  <c:v>1.35</c:v>
                </c:pt>
                <c:pt idx="76">
                  <c:v>1.36</c:v>
                </c:pt>
                <c:pt idx="77">
                  <c:v>1.37</c:v>
                </c:pt>
                <c:pt idx="78">
                  <c:v>1.38</c:v>
                </c:pt>
                <c:pt idx="79">
                  <c:v>1.39</c:v>
                </c:pt>
                <c:pt idx="80">
                  <c:v>1.400000000000001</c:v>
                </c:pt>
                <c:pt idx="81">
                  <c:v>1.410000000000001</c:v>
                </c:pt>
                <c:pt idx="82">
                  <c:v>1.420000000000001</c:v>
                </c:pt>
                <c:pt idx="83">
                  <c:v>1.430000000000001</c:v>
                </c:pt>
                <c:pt idx="84">
                  <c:v>1.440000000000001</c:v>
                </c:pt>
                <c:pt idx="85">
                  <c:v>1.450000000000001</c:v>
                </c:pt>
                <c:pt idx="86">
                  <c:v>1.460000000000001</c:v>
                </c:pt>
                <c:pt idx="87">
                  <c:v>1.470000000000001</c:v>
                </c:pt>
                <c:pt idx="88">
                  <c:v>1.480000000000001</c:v>
                </c:pt>
                <c:pt idx="89">
                  <c:v>1.490000000000001</c:v>
                </c:pt>
                <c:pt idx="90">
                  <c:v>1.500000000000001</c:v>
                </c:pt>
                <c:pt idx="91">
                  <c:v>1.510000000000001</c:v>
                </c:pt>
                <c:pt idx="92">
                  <c:v>1.520000000000001</c:v>
                </c:pt>
                <c:pt idx="93">
                  <c:v>1.530000000000001</c:v>
                </c:pt>
                <c:pt idx="94">
                  <c:v>1.540000000000001</c:v>
                </c:pt>
                <c:pt idx="95">
                  <c:v>1.550000000000001</c:v>
                </c:pt>
                <c:pt idx="96">
                  <c:v>1.560000000000001</c:v>
                </c:pt>
                <c:pt idx="97">
                  <c:v>1.570000000000001</c:v>
                </c:pt>
                <c:pt idx="98">
                  <c:v>1.580000000000001</c:v>
                </c:pt>
                <c:pt idx="99">
                  <c:v>1.590000000000001</c:v>
                </c:pt>
                <c:pt idx="100">
                  <c:v>1.600000000000001</c:v>
                </c:pt>
                <c:pt idx="101">
                  <c:v>1.610000000000001</c:v>
                </c:pt>
                <c:pt idx="102">
                  <c:v>1.620000000000001</c:v>
                </c:pt>
                <c:pt idx="103">
                  <c:v>1.630000000000001</c:v>
                </c:pt>
                <c:pt idx="104">
                  <c:v>1.640000000000001</c:v>
                </c:pt>
                <c:pt idx="105">
                  <c:v>1.650000000000001</c:v>
                </c:pt>
                <c:pt idx="106">
                  <c:v>1.660000000000001</c:v>
                </c:pt>
                <c:pt idx="107">
                  <c:v>1.670000000000001</c:v>
                </c:pt>
                <c:pt idx="108">
                  <c:v>1.680000000000001</c:v>
                </c:pt>
                <c:pt idx="109">
                  <c:v>1.690000000000001</c:v>
                </c:pt>
                <c:pt idx="110">
                  <c:v>1.700000000000001</c:v>
                </c:pt>
                <c:pt idx="111">
                  <c:v>1.710000000000001</c:v>
                </c:pt>
                <c:pt idx="112">
                  <c:v>1.720000000000001</c:v>
                </c:pt>
                <c:pt idx="113">
                  <c:v>1.730000000000001</c:v>
                </c:pt>
                <c:pt idx="114">
                  <c:v>1.740000000000001</c:v>
                </c:pt>
                <c:pt idx="115">
                  <c:v>1.750000000000001</c:v>
                </c:pt>
                <c:pt idx="116">
                  <c:v>1.760000000000001</c:v>
                </c:pt>
                <c:pt idx="117">
                  <c:v>1.770000000000001</c:v>
                </c:pt>
                <c:pt idx="118">
                  <c:v>1.780000000000001</c:v>
                </c:pt>
                <c:pt idx="119">
                  <c:v>1.790000000000001</c:v>
                </c:pt>
                <c:pt idx="120">
                  <c:v>1.800000000000001</c:v>
                </c:pt>
                <c:pt idx="121">
                  <c:v>1.810000000000001</c:v>
                </c:pt>
                <c:pt idx="122">
                  <c:v>1.820000000000001</c:v>
                </c:pt>
                <c:pt idx="123">
                  <c:v>1.830000000000001</c:v>
                </c:pt>
                <c:pt idx="124">
                  <c:v>1.840000000000001</c:v>
                </c:pt>
                <c:pt idx="125">
                  <c:v>1.850000000000001</c:v>
                </c:pt>
                <c:pt idx="126">
                  <c:v>1.860000000000001</c:v>
                </c:pt>
                <c:pt idx="127">
                  <c:v>1.870000000000001</c:v>
                </c:pt>
                <c:pt idx="128">
                  <c:v>1.880000000000001</c:v>
                </c:pt>
                <c:pt idx="129">
                  <c:v>1.890000000000001</c:v>
                </c:pt>
                <c:pt idx="130">
                  <c:v>1.900000000000001</c:v>
                </c:pt>
                <c:pt idx="131">
                  <c:v>1.910000000000001</c:v>
                </c:pt>
                <c:pt idx="132">
                  <c:v>1.920000000000001</c:v>
                </c:pt>
                <c:pt idx="133">
                  <c:v>1.930000000000001</c:v>
                </c:pt>
                <c:pt idx="134">
                  <c:v>1.940000000000001</c:v>
                </c:pt>
                <c:pt idx="135">
                  <c:v>1.950000000000001</c:v>
                </c:pt>
                <c:pt idx="136">
                  <c:v>1.960000000000001</c:v>
                </c:pt>
                <c:pt idx="137">
                  <c:v>1.970000000000001</c:v>
                </c:pt>
                <c:pt idx="138">
                  <c:v>1.980000000000001</c:v>
                </c:pt>
                <c:pt idx="139">
                  <c:v>1.990000000000001</c:v>
                </c:pt>
                <c:pt idx="140">
                  <c:v>2.000000000000001</c:v>
                </c:pt>
                <c:pt idx="141">
                  <c:v>2.010000000000001</c:v>
                </c:pt>
                <c:pt idx="142">
                  <c:v>2.02</c:v>
                </c:pt>
                <c:pt idx="143">
                  <c:v>2.03</c:v>
                </c:pt>
                <c:pt idx="144">
                  <c:v>2.04</c:v>
                </c:pt>
                <c:pt idx="145">
                  <c:v>2.05</c:v>
                </c:pt>
                <c:pt idx="146">
                  <c:v>2.06</c:v>
                </c:pt>
                <c:pt idx="147">
                  <c:v>2.069999999999999</c:v>
                </c:pt>
              </c:numCache>
            </c:numRef>
          </c:xVal>
          <c:yVal>
            <c:numRef>
              <c:f>'cycle4 AFTA filters 2'!$B$34:$B$181</c:f>
              <c:numCache>
                <c:formatCode>0.000</c:formatCode>
                <c:ptCount val="1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0.0622705209011721</c:v>
                </c:pt>
                <c:pt idx="106">
                  <c:v>0.193961049310674</c:v>
                </c:pt>
                <c:pt idx="107">
                  <c:v>0.325651577720176</c:v>
                </c:pt>
                <c:pt idx="108">
                  <c:v>0.457342106129678</c:v>
                </c:pt>
                <c:pt idx="109">
                  <c:v>0.589032634539181</c:v>
                </c:pt>
                <c:pt idx="110">
                  <c:v>0.720723162948682</c:v>
                </c:pt>
                <c:pt idx="111">
                  <c:v>0.852413691358185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0.943333333333321</c:v>
                </c:pt>
                <c:pt idx="137">
                  <c:v>0.832499999999988</c:v>
                </c:pt>
                <c:pt idx="138">
                  <c:v>0.721666666666654</c:v>
                </c:pt>
                <c:pt idx="139">
                  <c:v>0.610833333333321</c:v>
                </c:pt>
                <c:pt idx="140">
                  <c:v>0.49999999999999</c:v>
                </c:pt>
                <c:pt idx="141">
                  <c:v>0.389166666666659</c:v>
                </c:pt>
                <c:pt idx="142">
                  <c:v>0.278333333333328</c:v>
                </c:pt>
                <c:pt idx="143">
                  <c:v>0.167499999999997</c:v>
                </c:pt>
                <c:pt idx="144">
                  <c:v>0.0566666666666663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'cycle4 AFTA filters 2'!$C$33</c:f>
              <c:strCache>
                <c:ptCount val="1"/>
                <c:pt idx="0">
                  <c:v>H158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'cycle4 AFTA filters 2'!$A$34:$A$181</c:f>
              <c:numCache>
                <c:formatCode>General</c:formatCode>
                <c:ptCount val="148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1.0</c:v>
                </c:pt>
                <c:pt idx="41">
                  <c:v>1.01</c:v>
                </c:pt>
                <c:pt idx="42">
                  <c:v>1.02</c:v>
                </c:pt>
                <c:pt idx="43">
                  <c:v>1.03</c:v>
                </c:pt>
                <c:pt idx="44">
                  <c:v>1.04</c:v>
                </c:pt>
                <c:pt idx="45">
                  <c:v>1.05</c:v>
                </c:pt>
                <c:pt idx="46">
                  <c:v>1.06</c:v>
                </c:pt>
                <c:pt idx="47">
                  <c:v>1.07</c:v>
                </c:pt>
                <c:pt idx="48">
                  <c:v>1.08</c:v>
                </c:pt>
                <c:pt idx="49">
                  <c:v>1.09</c:v>
                </c:pt>
                <c:pt idx="50">
                  <c:v>1.1</c:v>
                </c:pt>
                <c:pt idx="51">
                  <c:v>1.11</c:v>
                </c:pt>
                <c:pt idx="52">
                  <c:v>1.12</c:v>
                </c:pt>
                <c:pt idx="53">
                  <c:v>1.13</c:v>
                </c:pt>
                <c:pt idx="54">
                  <c:v>1.14</c:v>
                </c:pt>
                <c:pt idx="55">
                  <c:v>1.15</c:v>
                </c:pt>
                <c:pt idx="56">
                  <c:v>1.16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1.2</c:v>
                </c:pt>
                <c:pt idx="61">
                  <c:v>1.21</c:v>
                </c:pt>
                <c:pt idx="62">
                  <c:v>1.22</c:v>
                </c:pt>
                <c:pt idx="63">
                  <c:v>1.23</c:v>
                </c:pt>
                <c:pt idx="64">
                  <c:v>1.24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1.3</c:v>
                </c:pt>
                <c:pt idx="71">
                  <c:v>1.31</c:v>
                </c:pt>
                <c:pt idx="72">
                  <c:v>1.32</c:v>
                </c:pt>
                <c:pt idx="73">
                  <c:v>1.33</c:v>
                </c:pt>
                <c:pt idx="74">
                  <c:v>1.34</c:v>
                </c:pt>
                <c:pt idx="75">
                  <c:v>1.35</c:v>
                </c:pt>
                <c:pt idx="76">
                  <c:v>1.36</c:v>
                </c:pt>
                <c:pt idx="77">
                  <c:v>1.37</c:v>
                </c:pt>
                <c:pt idx="78">
                  <c:v>1.38</c:v>
                </c:pt>
                <c:pt idx="79">
                  <c:v>1.39</c:v>
                </c:pt>
                <c:pt idx="80">
                  <c:v>1.400000000000001</c:v>
                </c:pt>
                <c:pt idx="81">
                  <c:v>1.410000000000001</c:v>
                </c:pt>
                <c:pt idx="82">
                  <c:v>1.420000000000001</c:v>
                </c:pt>
                <c:pt idx="83">
                  <c:v>1.430000000000001</c:v>
                </c:pt>
                <c:pt idx="84">
                  <c:v>1.440000000000001</c:v>
                </c:pt>
                <c:pt idx="85">
                  <c:v>1.450000000000001</c:v>
                </c:pt>
                <c:pt idx="86">
                  <c:v>1.460000000000001</c:v>
                </c:pt>
                <c:pt idx="87">
                  <c:v>1.470000000000001</c:v>
                </c:pt>
                <c:pt idx="88">
                  <c:v>1.480000000000001</c:v>
                </c:pt>
                <c:pt idx="89">
                  <c:v>1.490000000000001</c:v>
                </c:pt>
                <c:pt idx="90">
                  <c:v>1.500000000000001</c:v>
                </c:pt>
                <c:pt idx="91">
                  <c:v>1.510000000000001</c:v>
                </c:pt>
                <c:pt idx="92">
                  <c:v>1.520000000000001</c:v>
                </c:pt>
                <c:pt idx="93">
                  <c:v>1.530000000000001</c:v>
                </c:pt>
                <c:pt idx="94">
                  <c:v>1.540000000000001</c:v>
                </c:pt>
                <c:pt idx="95">
                  <c:v>1.550000000000001</c:v>
                </c:pt>
                <c:pt idx="96">
                  <c:v>1.560000000000001</c:v>
                </c:pt>
                <c:pt idx="97">
                  <c:v>1.570000000000001</c:v>
                </c:pt>
                <c:pt idx="98">
                  <c:v>1.580000000000001</c:v>
                </c:pt>
                <c:pt idx="99">
                  <c:v>1.590000000000001</c:v>
                </c:pt>
                <c:pt idx="100">
                  <c:v>1.600000000000001</c:v>
                </c:pt>
                <c:pt idx="101">
                  <c:v>1.610000000000001</c:v>
                </c:pt>
                <c:pt idx="102">
                  <c:v>1.620000000000001</c:v>
                </c:pt>
                <c:pt idx="103">
                  <c:v>1.630000000000001</c:v>
                </c:pt>
                <c:pt idx="104">
                  <c:v>1.640000000000001</c:v>
                </c:pt>
                <c:pt idx="105">
                  <c:v>1.650000000000001</c:v>
                </c:pt>
                <c:pt idx="106">
                  <c:v>1.660000000000001</c:v>
                </c:pt>
                <c:pt idx="107">
                  <c:v>1.670000000000001</c:v>
                </c:pt>
                <c:pt idx="108">
                  <c:v>1.680000000000001</c:v>
                </c:pt>
                <c:pt idx="109">
                  <c:v>1.690000000000001</c:v>
                </c:pt>
                <c:pt idx="110">
                  <c:v>1.700000000000001</c:v>
                </c:pt>
                <c:pt idx="111">
                  <c:v>1.710000000000001</c:v>
                </c:pt>
                <c:pt idx="112">
                  <c:v>1.720000000000001</c:v>
                </c:pt>
                <c:pt idx="113">
                  <c:v>1.730000000000001</c:v>
                </c:pt>
                <c:pt idx="114">
                  <c:v>1.740000000000001</c:v>
                </c:pt>
                <c:pt idx="115">
                  <c:v>1.750000000000001</c:v>
                </c:pt>
                <c:pt idx="116">
                  <c:v>1.760000000000001</c:v>
                </c:pt>
                <c:pt idx="117">
                  <c:v>1.770000000000001</c:v>
                </c:pt>
                <c:pt idx="118">
                  <c:v>1.780000000000001</c:v>
                </c:pt>
                <c:pt idx="119">
                  <c:v>1.790000000000001</c:v>
                </c:pt>
                <c:pt idx="120">
                  <c:v>1.800000000000001</c:v>
                </c:pt>
                <c:pt idx="121">
                  <c:v>1.810000000000001</c:v>
                </c:pt>
                <c:pt idx="122">
                  <c:v>1.820000000000001</c:v>
                </c:pt>
                <c:pt idx="123">
                  <c:v>1.830000000000001</c:v>
                </c:pt>
                <c:pt idx="124">
                  <c:v>1.840000000000001</c:v>
                </c:pt>
                <c:pt idx="125">
                  <c:v>1.850000000000001</c:v>
                </c:pt>
                <c:pt idx="126">
                  <c:v>1.860000000000001</c:v>
                </c:pt>
                <c:pt idx="127">
                  <c:v>1.870000000000001</c:v>
                </c:pt>
                <c:pt idx="128">
                  <c:v>1.880000000000001</c:v>
                </c:pt>
                <c:pt idx="129">
                  <c:v>1.890000000000001</c:v>
                </c:pt>
                <c:pt idx="130">
                  <c:v>1.900000000000001</c:v>
                </c:pt>
                <c:pt idx="131">
                  <c:v>1.910000000000001</c:v>
                </c:pt>
                <c:pt idx="132">
                  <c:v>1.920000000000001</c:v>
                </c:pt>
                <c:pt idx="133">
                  <c:v>1.930000000000001</c:v>
                </c:pt>
                <c:pt idx="134">
                  <c:v>1.940000000000001</c:v>
                </c:pt>
                <c:pt idx="135">
                  <c:v>1.950000000000001</c:v>
                </c:pt>
                <c:pt idx="136">
                  <c:v>1.960000000000001</c:v>
                </c:pt>
                <c:pt idx="137">
                  <c:v>1.970000000000001</c:v>
                </c:pt>
                <c:pt idx="138">
                  <c:v>1.980000000000001</c:v>
                </c:pt>
                <c:pt idx="139">
                  <c:v>1.990000000000001</c:v>
                </c:pt>
                <c:pt idx="140">
                  <c:v>2.000000000000001</c:v>
                </c:pt>
                <c:pt idx="141">
                  <c:v>2.010000000000001</c:v>
                </c:pt>
                <c:pt idx="142">
                  <c:v>2.02</c:v>
                </c:pt>
                <c:pt idx="143">
                  <c:v>2.03</c:v>
                </c:pt>
                <c:pt idx="144">
                  <c:v>2.04</c:v>
                </c:pt>
                <c:pt idx="145">
                  <c:v>2.05</c:v>
                </c:pt>
                <c:pt idx="146">
                  <c:v>2.06</c:v>
                </c:pt>
                <c:pt idx="147">
                  <c:v>2.069999999999999</c:v>
                </c:pt>
              </c:numCache>
            </c:numRef>
          </c:xVal>
          <c:yVal>
            <c:numRef>
              <c:f>'cycle4 AFTA filters 2'!$C$34:$C$181</c:f>
              <c:numCache>
                <c:formatCode>0.000</c:formatCode>
                <c:ptCount val="1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0.0214266540072447</c:v>
                </c:pt>
                <c:pt idx="76">
                  <c:v>0.182079197123348</c:v>
                </c:pt>
                <c:pt idx="77">
                  <c:v>0.342731740239451</c:v>
                </c:pt>
                <c:pt idx="78">
                  <c:v>0.503384283355554</c:v>
                </c:pt>
                <c:pt idx="79">
                  <c:v>0.664036826471657</c:v>
                </c:pt>
                <c:pt idx="80">
                  <c:v>0.82468936958776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0.925022498287386</c:v>
                </c:pt>
                <c:pt idx="115">
                  <c:v>0.800070520308194</c:v>
                </c:pt>
                <c:pt idx="116">
                  <c:v>0.675118542329003</c:v>
                </c:pt>
                <c:pt idx="117">
                  <c:v>0.550166564349812</c:v>
                </c:pt>
                <c:pt idx="118">
                  <c:v>0.42521458637062</c:v>
                </c:pt>
                <c:pt idx="119">
                  <c:v>0.300262608391429</c:v>
                </c:pt>
                <c:pt idx="120">
                  <c:v>0.175310630412238</c:v>
                </c:pt>
                <c:pt idx="121">
                  <c:v>0.0503586524330464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'cycle4 AFTA filters 2'!$D$33</c:f>
              <c:strCache>
                <c:ptCount val="1"/>
                <c:pt idx="0">
                  <c:v>J129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'cycle4 AFTA filters 2'!$A$34:$A$181</c:f>
              <c:numCache>
                <c:formatCode>General</c:formatCode>
                <c:ptCount val="148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1.0</c:v>
                </c:pt>
                <c:pt idx="41">
                  <c:v>1.01</c:v>
                </c:pt>
                <c:pt idx="42">
                  <c:v>1.02</c:v>
                </c:pt>
                <c:pt idx="43">
                  <c:v>1.03</c:v>
                </c:pt>
                <c:pt idx="44">
                  <c:v>1.04</c:v>
                </c:pt>
                <c:pt idx="45">
                  <c:v>1.05</c:v>
                </c:pt>
                <c:pt idx="46">
                  <c:v>1.06</c:v>
                </c:pt>
                <c:pt idx="47">
                  <c:v>1.07</c:v>
                </c:pt>
                <c:pt idx="48">
                  <c:v>1.08</c:v>
                </c:pt>
                <c:pt idx="49">
                  <c:v>1.09</c:v>
                </c:pt>
                <c:pt idx="50">
                  <c:v>1.1</c:v>
                </c:pt>
                <c:pt idx="51">
                  <c:v>1.11</c:v>
                </c:pt>
                <c:pt idx="52">
                  <c:v>1.12</c:v>
                </c:pt>
                <c:pt idx="53">
                  <c:v>1.13</c:v>
                </c:pt>
                <c:pt idx="54">
                  <c:v>1.14</c:v>
                </c:pt>
                <c:pt idx="55">
                  <c:v>1.15</c:v>
                </c:pt>
                <c:pt idx="56">
                  <c:v>1.16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1.2</c:v>
                </c:pt>
                <c:pt idx="61">
                  <c:v>1.21</c:v>
                </c:pt>
                <c:pt idx="62">
                  <c:v>1.22</c:v>
                </c:pt>
                <c:pt idx="63">
                  <c:v>1.23</c:v>
                </c:pt>
                <c:pt idx="64">
                  <c:v>1.24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1.3</c:v>
                </c:pt>
                <c:pt idx="71">
                  <c:v>1.31</c:v>
                </c:pt>
                <c:pt idx="72">
                  <c:v>1.32</c:v>
                </c:pt>
                <c:pt idx="73">
                  <c:v>1.33</c:v>
                </c:pt>
                <c:pt idx="74">
                  <c:v>1.34</c:v>
                </c:pt>
                <c:pt idx="75">
                  <c:v>1.35</c:v>
                </c:pt>
                <c:pt idx="76">
                  <c:v>1.36</c:v>
                </c:pt>
                <c:pt idx="77">
                  <c:v>1.37</c:v>
                </c:pt>
                <c:pt idx="78">
                  <c:v>1.38</c:v>
                </c:pt>
                <c:pt idx="79">
                  <c:v>1.39</c:v>
                </c:pt>
                <c:pt idx="80">
                  <c:v>1.400000000000001</c:v>
                </c:pt>
                <c:pt idx="81">
                  <c:v>1.410000000000001</c:v>
                </c:pt>
                <c:pt idx="82">
                  <c:v>1.420000000000001</c:v>
                </c:pt>
                <c:pt idx="83">
                  <c:v>1.430000000000001</c:v>
                </c:pt>
                <c:pt idx="84">
                  <c:v>1.440000000000001</c:v>
                </c:pt>
                <c:pt idx="85">
                  <c:v>1.450000000000001</c:v>
                </c:pt>
                <c:pt idx="86">
                  <c:v>1.460000000000001</c:v>
                </c:pt>
                <c:pt idx="87">
                  <c:v>1.470000000000001</c:v>
                </c:pt>
                <c:pt idx="88">
                  <c:v>1.480000000000001</c:v>
                </c:pt>
                <c:pt idx="89">
                  <c:v>1.490000000000001</c:v>
                </c:pt>
                <c:pt idx="90">
                  <c:v>1.500000000000001</c:v>
                </c:pt>
                <c:pt idx="91">
                  <c:v>1.510000000000001</c:v>
                </c:pt>
                <c:pt idx="92">
                  <c:v>1.520000000000001</c:v>
                </c:pt>
                <c:pt idx="93">
                  <c:v>1.530000000000001</c:v>
                </c:pt>
                <c:pt idx="94">
                  <c:v>1.540000000000001</c:v>
                </c:pt>
                <c:pt idx="95">
                  <c:v>1.550000000000001</c:v>
                </c:pt>
                <c:pt idx="96">
                  <c:v>1.560000000000001</c:v>
                </c:pt>
                <c:pt idx="97">
                  <c:v>1.570000000000001</c:v>
                </c:pt>
                <c:pt idx="98">
                  <c:v>1.580000000000001</c:v>
                </c:pt>
                <c:pt idx="99">
                  <c:v>1.590000000000001</c:v>
                </c:pt>
                <c:pt idx="100">
                  <c:v>1.600000000000001</c:v>
                </c:pt>
                <c:pt idx="101">
                  <c:v>1.610000000000001</c:v>
                </c:pt>
                <c:pt idx="102">
                  <c:v>1.620000000000001</c:v>
                </c:pt>
                <c:pt idx="103">
                  <c:v>1.630000000000001</c:v>
                </c:pt>
                <c:pt idx="104">
                  <c:v>1.640000000000001</c:v>
                </c:pt>
                <c:pt idx="105">
                  <c:v>1.650000000000001</c:v>
                </c:pt>
                <c:pt idx="106">
                  <c:v>1.660000000000001</c:v>
                </c:pt>
                <c:pt idx="107">
                  <c:v>1.670000000000001</c:v>
                </c:pt>
                <c:pt idx="108">
                  <c:v>1.680000000000001</c:v>
                </c:pt>
                <c:pt idx="109">
                  <c:v>1.690000000000001</c:v>
                </c:pt>
                <c:pt idx="110">
                  <c:v>1.700000000000001</c:v>
                </c:pt>
                <c:pt idx="111">
                  <c:v>1.710000000000001</c:v>
                </c:pt>
                <c:pt idx="112">
                  <c:v>1.720000000000001</c:v>
                </c:pt>
                <c:pt idx="113">
                  <c:v>1.730000000000001</c:v>
                </c:pt>
                <c:pt idx="114">
                  <c:v>1.740000000000001</c:v>
                </c:pt>
                <c:pt idx="115">
                  <c:v>1.750000000000001</c:v>
                </c:pt>
                <c:pt idx="116">
                  <c:v>1.760000000000001</c:v>
                </c:pt>
                <c:pt idx="117">
                  <c:v>1.770000000000001</c:v>
                </c:pt>
                <c:pt idx="118">
                  <c:v>1.780000000000001</c:v>
                </c:pt>
                <c:pt idx="119">
                  <c:v>1.790000000000001</c:v>
                </c:pt>
                <c:pt idx="120">
                  <c:v>1.800000000000001</c:v>
                </c:pt>
                <c:pt idx="121">
                  <c:v>1.810000000000001</c:v>
                </c:pt>
                <c:pt idx="122">
                  <c:v>1.820000000000001</c:v>
                </c:pt>
                <c:pt idx="123">
                  <c:v>1.830000000000001</c:v>
                </c:pt>
                <c:pt idx="124">
                  <c:v>1.840000000000001</c:v>
                </c:pt>
                <c:pt idx="125">
                  <c:v>1.850000000000001</c:v>
                </c:pt>
                <c:pt idx="126">
                  <c:v>1.860000000000001</c:v>
                </c:pt>
                <c:pt idx="127">
                  <c:v>1.870000000000001</c:v>
                </c:pt>
                <c:pt idx="128">
                  <c:v>1.880000000000001</c:v>
                </c:pt>
                <c:pt idx="129">
                  <c:v>1.890000000000001</c:v>
                </c:pt>
                <c:pt idx="130">
                  <c:v>1.900000000000001</c:v>
                </c:pt>
                <c:pt idx="131">
                  <c:v>1.910000000000001</c:v>
                </c:pt>
                <c:pt idx="132">
                  <c:v>1.920000000000001</c:v>
                </c:pt>
                <c:pt idx="133">
                  <c:v>1.930000000000001</c:v>
                </c:pt>
                <c:pt idx="134">
                  <c:v>1.940000000000001</c:v>
                </c:pt>
                <c:pt idx="135">
                  <c:v>1.950000000000001</c:v>
                </c:pt>
                <c:pt idx="136">
                  <c:v>1.960000000000001</c:v>
                </c:pt>
                <c:pt idx="137">
                  <c:v>1.970000000000001</c:v>
                </c:pt>
                <c:pt idx="138">
                  <c:v>1.980000000000001</c:v>
                </c:pt>
                <c:pt idx="139">
                  <c:v>1.990000000000001</c:v>
                </c:pt>
                <c:pt idx="140">
                  <c:v>2.000000000000001</c:v>
                </c:pt>
                <c:pt idx="141">
                  <c:v>2.010000000000001</c:v>
                </c:pt>
                <c:pt idx="142">
                  <c:v>2.02</c:v>
                </c:pt>
                <c:pt idx="143">
                  <c:v>2.03</c:v>
                </c:pt>
                <c:pt idx="144">
                  <c:v>2.04</c:v>
                </c:pt>
                <c:pt idx="145">
                  <c:v>2.05</c:v>
                </c:pt>
                <c:pt idx="146">
                  <c:v>2.06</c:v>
                </c:pt>
                <c:pt idx="147">
                  <c:v>2.069999999999999</c:v>
                </c:pt>
              </c:numCache>
            </c:numRef>
          </c:xVal>
          <c:yVal>
            <c:numRef>
              <c:f>'cycle4 AFTA filters 2'!$D$34:$D$181</c:f>
              <c:numCache>
                <c:formatCode>0.000</c:formatCode>
                <c:ptCount val="1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0.0875599377336085</c:v>
                </c:pt>
                <c:pt idx="52">
                  <c:v>0.283543961196674</c:v>
                </c:pt>
                <c:pt idx="53">
                  <c:v>0.47952798465974</c:v>
                </c:pt>
                <c:pt idx="54">
                  <c:v>0.675512008122805</c:v>
                </c:pt>
                <c:pt idx="55">
                  <c:v>0.871496031585871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0.868888057052375</c:v>
                </c:pt>
                <c:pt idx="84">
                  <c:v>0.716456038803324</c:v>
                </c:pt>
                <c:pt idx="85">
                  <c:v>0.564024020554273</c:v>
                </c:pt>
                <c:pt idx="86">
                  <c:v>0.411592002305222</c:v>
                </c:pt>
                <c:pt idx="87">
                  <c:v>0.259159984056171</c:v>
                </c:pt>
                <c:pt idx="88">
                  <c:v>0.10672796580712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'cycle4 AFTA filters 2'!$E$33</c:f>
              <c:strCache>
                <c:ptCount val="1"/>
                <c:pt idx="0">
                  <c:v>W149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'cycle4 AFTA filters 2'!$A$34:$A$181</c:f>
              <c:numCache>
                <c:formatCode>General</c:formatCode>
                <c:ptCount val="148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1.0</c:v>
                </c:pt>
                <c:pt idx="41">
                  <c:v>1.01</c:v>
                </c:pt>
                <c:pt idx="42">
                  <c:v>1.02</c:v>
                </c:pt>
                <c:pt idx="43">
                  <c:v>1.03</c:v>
                </c:pt>
                <c:pt idx="44">
                  <c:v>1.04</c:v>
                </c:pt>
                <c:pt idx="45">
                  <c:v>1.05</c:v>
                </c:pt>
                <c:pt idx="46">
                  <c:v>1.06</c:v>
                </c:pt>
                <c:pt idx="47">
                  <c:v>1.07</c:v>
                </c:pt>
                <c:pt idx="48">
                  <c:v>1.08</c:v>
                </c:pt>
                <c:pt idx="49">
                  <c:v>1.09</c:v>
                </c:pt>
                <c:pt idx="50">
                  <c:v>1.1</c:v>
                </c:pt>
                <c:pt idx="51">
                  <c:v>1.11</c:v>
                </c:pt>
                <c:pt idx="52">
                  <c:v>1.12</c:v>
                </c:pt>
                <c:pt idx="53">
                  <c:v>1.13</c:v>
                </c:pt>
                <c:pt idx="54">
                  <c:v>1.14</c:v>
                </c:pt>
                <c:pt idx="55">
                  <c:v>1.15</c:v>
                </c:pt>
                <c:pt idx="56">
                  <c:v>1.16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1.2</c:v>
                </c:pt>
                <c:pt idx="61">
                  <c:v>1.21</c:v>
                </c:pt>
                <c:pt idx="62">
                  <c:v>1.22</c:v>
                </c:pt>
                <c:pt idx="63">
                  <c:v>1.23</c:v>
                </c:pt>
                <c:pt idx="64">
                  <c:v>1.24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1.3</c:v>
                </c:pt>
                <c:pt idx="71">
                  <c:v>1.31</c:v>
                </c:pt>
                <c:pt idx="72">
                  <c:v>1.32</c:v>
                </c:pt>
                <c:pt idx="73">
                  <c:v>1.33</c:v>
                </c:pt>
                <c:pt idx="74">
                  <c:v>1.34</c:v>
                </c:pt>
                <c:pt idx="75">
                  <c:v>1.35</c:v>
                </c:pt>
                <c:pt idx="76">
                  <c:v>1.36</c:v>
                </c:pt>
                <c:pt idx="77">
                  <c:v>1.37</c:v>
                </c:pt>
                <c:pt idx="78">
                  <c:v>1.38</c:v>
                </c:pt>
                <c:pt idx="79">
                  <c:v>1.39</c:v>
                </c:pt>
                <c:pt idx="80">
                  <c:v>1.400000000000001</c:v>
                </c:pt>
                <c:pt idx="81">
                  <c:v>1.410000000000001</c:v>
                </c:pt>
                <c:pt idx="82">
                  <c:v>1.420000000000001</c:v>
                </c:pt>
                <c:pt idx="83">
                  <c:v>1.430000000000001</c:v>
                </c:pt>
                <c:pt idx="84">
                  <c:v>1.440000000000001</c:v>
                </c:pt>
                <c:pt idx="85">
                  <c:v>1.450000000000001</c:v>
                </c:pt>
                <c:pt idx="86">
                  <c:v>1.460000000000001</c:v>
                </c:pt>
                <c:pt idx="87">
                  <c:v>1.470000000000001</c:v>
                </c:pt>
                <c:pt idx="88">
                  <c:v>1.480000000000001</c:v>
                </c:pt>
                <c:pt idx="89">
                  <c:v>1.490000000000001</c:v>
                </c:pt>
                <c:pt idx="90">
                  <c:v>1.500000000000001</c:v>
                </c:pt>
                <c:pt idx="91">
                  <c:v>1.510000000000001</c:v>
                </c:pt>
                <c:pt idx="92">
                  <c:v>1.520000000000001</c:v>
                </c:pt>
                <c:pt idx="93">
                  <c:v>1.530000000000001</c:v>
                </c:pt>
                <c:pt idx="94">
                  <c:v>1.540000000000001</c:v>
                </c:pt>
                <c:pt idx="95">
                  <c:v>1.550000000000001</c:v>
                </c:pt>
                <c:pt idx="96">
                  <c:v>1.560000000000001</c:v>
                </c:pt>
                <c:pt idx="97">
                  <c:v>1.570000000000001</c:v>
                </c:pt>
                <c:pt idx="98">
                  <c:v>1.580000000000001</c:v>
                </c:pt>
                <c:pt idx="99">
                  <c:v>1.590000000000001</c:v>
                </c:pt>
                <c:pt idx="100">
                  <c:v>1.600000000000001</c:v>
                </c:pt>
                <c:pt idx="101">
                  <c:v>1.610000000000001</c:v>
                </c:pt>
                <c:pt idx="102">
                  <c:v>1.620000000000001</c:v>
                </c:pt>
                <c:pt idx="103">
                  <c:v>1.630000000000001</c:v>
                </c:pt>
                <c:pt idx="104">
                  <c:v>1.640000000000001</c:v>
                </c:pt>
                <c:pt idx="105">
                  <c:v>1.650000000000001</c:v>
                </c:pt>
                <c:pt idx="106">
                  <c:v>1.660000000000001</c:v>
                </c:pt>
                <c:pt idx="107">
                  <c:v>1.670000000000001</c:v>
                </c:pt>
                <c:pt idx="108">
                  <c:v>1.680000000000001</c:v>
                </c:pt>
                <c:pt idx="109">
                  <c:v>1.690000000000001</c:v>
                </c:pt>
                <c:pt idx="110">
                  <c:v>1.700000000000001</c:v>
                </c:pt>
                <c:pt idx="111">
                  <c:v>1.710000000000001</c:v>
                </c:pt>
                <c:pt idx="112">
                  <c:v>1.720000000000001</c:v>
                </c:pt>
                <c:pt idx="113">
                  <c:v>1.730000000000001</c:v>
                </c:pt>
                <c:pt idx="114">
                  <c:v>1.740000000000001</c:v>
                </c:pt>
                <c:pt idx="115">
                  <c:v>1.750000000000001</c:v>
                </c:pt>
                <c:pt idx="116">
                  <c:v>1.760000000000001</c:v>
                </c:pt>
                <c:pt idx="117">
                  <c:v>1.770000000000001</c:v>
                </c:pt>
                <c:pt idx="118">
                  <c:v>1.780000000000001</c:v>
                </c:pt>
                <c:pt idx="119">
                  <c:v>1.790000000000001</c:v>
                </c:pt>
                <c:pt idx="120">
                  <c:v>1.800000000000001</c:v>
                </c:pt>
                <c:pt idx="121">
                  <c:v>1.810000000000001</c:v>
                </c:pt>
                <c:pt idx="122">
                  <c:v>1.820000000000001</c:v>
                </c:pt>
                <c:pt idx="123">
                  <c:v>1.830000000000001</c:v>
                </c:pt>
                <c:pt idx="124">
                  <c:v>1.840000000000001</c:v>
                </c:pt>
                <c:pt idx="125">
                  <c:v>1.850000000000001</c:v>
                </c:pt>
                <c:pt idx="126">
                  <c:v>1.860000000000001</c:v>
                </c:pt>
                <c:pt idx="127">
                  <c:v>1.870000000000001</c:v>
                </c:pt>
                <c:pt idx="128">
                  <c:v>1.880000000000001</c:v>
                </c:pt>
                <c:pt idx="129">
                  <c:v>1.890000000000001</c:v>
                </c:pt>
                <c:pt idx="130">
                  <c:v>1.900000000000001</c:v>
                </c:pt>
                <c:pt idx="131">
                  <c:v>1.910000000000001</c:v>
                </c:pt>
                <c:pt idx="132">
                  <c:v>1.920000000000001</c:v>
                </c:pt>
                <c:pt idx="133">
                  <c:v>1.930000000000001</c:v>
                </c:pt>
                <c:pt idx="134">
                  <c:v>1.940000000000001</c:v>
                </c:pt>
                <c:pt idx="135">
                  <c:v>1.950000000000001</c:v>
                </c:pt>
                <c:pt idx="136">
                  <c:v>1.960000000000001</c:v>
                </c:pt>
                <c:pt idx="137">
                  <c:v>1.970000000000001</c:v>
                </c:pt>
                <c:pt idx="138">
                  <c:v>1.980000000000001</c:v>
                </c:pt>
                <c:pt idx="139">
                  <c:v>1.990000000000001</c:v>
                </c:pt>
                <c:pt idx="140">
                  <c:v>2.000000000000001</c:v>
                </c:pt>
                <c:pt idx="141">
                  <c:v>2.010000000000001</c:v>
                </c:pt>
                <c:pt idx="142">
                  <c:v>2.02</c:v>
                </c:pt>
                <c:pt idx="143">
                  <c:v>2.03</c:v>
                </c:pt>
                <c:pt idx="144">
                  <c:v>2.04</c:v>
                </c:pt>
                <c:pt idx="145">
                  <c:v>2.05</c:v>
                </c:pt>
                <c:pt idx="146">
                  <c:v>2.06</c:v>
                </c:pt>
                <c:pt idx="147">
                  <c:v>2.069999999999999</c:v>
                </c:pt>
              </c:numCache>
            </c:numRef>
          </c:xVal>
          <c:yVal>
            <c:numRef>
              <c:f>'cycle4 AFTA filters 2'!$E$34:$E$181</c:f>
              <c:numCache>
                <c:formatCode>0.000</c:formatCode>
                <c:ptCount val="1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0.0901386748844433</c:v>
                </c:pt>
                <c:pt idx="32">
                  <c:v>0.329224447868522</c:v>
                </c:pt>
                <c:pt idx="33">
                  <c:v>0.5683102208526</c:v>
                </c:pt>
                <c:pt idx="34">
                  <c:v>0.807395993836678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0.943333333333321</c:v>
                </c:pt>
                <c:pt idx="137">
                  <c:v>0.832499999999988</c:v>
                </c:pt>
                <c:pt idx="138">
                  <c:v>0.721666666666654</c:v>
                </c:pt>
                <c:pt idx="139">
                  <c:v>0.610833333333321</c:v>
                </c:pt>
                <c:pt idx="140">
                  <c:v>0.49999999999999</c:v>
                </c:pt>
                <c:pt idx="141">
                  <c:v>0.389166666666659</c:v>
                </c:pt>
                <c:pt idx="142">
                  <c:v>0.278333333333328</c:v>
                </c:pt>
                <c:pt idx="143">
                  <c:v>0.167499999999997</c:v>
                </c:pt>
                <c:pt idx="144">
                  <c:v>0.0566666666666663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'cycle4 AFTA filters 2'!$G$33</c:f>
              <c:strCache>
                <c:ptCount val="1"/>
                <c:pt idx="0">
                  <c:v>Z087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ysDot"/>
            </a:ln>
          </c:spPr>
          <c:marker>
            <c:symbol val="none"/>
          </c:marker>
          <c:xVal>
            <c:numRef>
              <c:f>'cycle4 AFTA filters 2'!$A$34:$A$181</c:f>
              <c:numCache>
                <c:formatCode>General</c:formatCode>
                <c:ptCount val="148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1.0</c:v>
                </c:pt>
                <c:pt idx="41">
                  <c:v>1.01</c:v>
                </c:pt>
                <c:pt idx="42">
                  <c:v>1.02</c:v>
                </c:pt>
                <c:pt idx="43">
                  <c:v>1.03</c:v>
                </c:pt>
                <c:pt idx="44">
                  <c:v>1.04</c:v>
                </c:pt>
                <c:pt idx="45">
                  <c:v>1.05</c:v>
                </c:pt>
                <c:pt idx="46">
                  <c:v>1.06</c:v>
                </c:pt>
                <c:pt idx="47">
                  <c:v>1.07</c:v>
                </c:pt>
                <c:pt idx="48">
                  <c:v>1.08</c:v>
                </c:pt>
                <c:pt idx="49">
                  <c:v>1.09</c:v>
                </c:pt>
                <c:pt idx="50">
                  <c:v>1.1</c:v>
                </c:pt>
                <c:pt idx="51">
                  <c:v>1.11</c:v>
                </c:pt>
                <c:pt idx="52">
                  <c:v>1.12</c:v>
                </c:pt>
                <c:pt idx="53">
                  <c:v>1.13</c:v>
                </c:pt>
                <c:pt idx="54">
                  <c:v>1.14</c:v>
                </c:pt>
                <c:pt idx="55">
                  <c:v>1.15</c:v>
                </c:pt>
                <c:pt idx="56">
                  <c:v>1.16</c:v>
                </c:pt>
                <c:pt idx="57">
                  <c:v>1.17</c:v>
                </c:pt>
                <c:pt idx="58">
                  <c:v>1.18</c:v>
                </c:pt>
                <c:pt idx="59">
                  <c:v>1.19</c:v>
                </c:pt>
                <c:pt idx="60">
                  <c:v>1.2</c:v>
                </c:pt>
                <c:pt idx="61">
                  <c:v>1.21</c:v>
                </c:pt>
                <c:pt idx="62">
                  <c:v>1.22</c:v>
                </c:pt>
                <c:pt idx="63">
                  <c:v>1.23</c:v>
                </c:pt>
                <c:pt idx="64">
                  <c:v>1.24</c:v>
                </c:pt>
                <c:pt idx="65">
                  <c:v>1.25</c:v>
                </c:pt>
                <c:pt idx="66">
                  <c:v>1.26</c:v>
                </c:pt>
                <c:pt idx="67">
                  <c:v>1.27</c:v>
                </c:pt>
                <c:pt idx="68">
                  <c:v>1.28</c:v>
                </c:pt>
                <c:pt idx="69">
                  <c:v>1.29</c:v>
                </c:pt>
                <c:pt idx="70">
                  <c:v>1.3</c:v>
                </c:pt>
                <c:pt idx="71">
                  <c:v>1.31</c:v>
                </c:pt>
                <c:pt idx="72">
                  <c:v>1.32</c:v>
                </c:pt>
                <c:pt idx="73">
                  <c:v>1.33</c:v>
                </c:pt>
                <c:pt idx="74">
                  <c:v>1.34</c:v>
                </c:pt>
                <c:pt idx="75">
                  <c:v>1.35</c:v>
                </c:pt>
                <c:pt idx="76">
                  <c:v>1.36</c:v>
                </c:pt>
                <c:pt idx="77">
                  <c:v>1.37</c:v>
                </c:pt>
                <c:pt idx="78">
                  <c:v>1.38</c:v>
                </c:pt>
                <c:pt idx="79">
                  <c:v>1.39</c:v>
                </c:pt>
                <c:pt idx="80">
                  <c:v>1.400000000000001</c:v>
                </c:pt>
                <c:pt idx="81">
                  <c:v>1.410000000000001</c:v>
                </c:pt>
                <c:pt idx="82">
                  <c:v>1.420000000000001</c:v>
                </c:pt>
                <c:pt idx="83">
                  <c:v>1.430000000000001</c:v>
                </c:pt>
                <c:pt idx="84">
                  <c:v>1.440000000000001</c:v>
                </c:pt>
                <c:pt idx="85">
                  <c:v>1.450000000000001</c:v>
                </c:pt>
                <c:pt idx="86">
                  <c:v>1.460000000000001</c:v>
                </c:pt>
                <c:pt idx="87">
                  <c:v>1.470000000000001</c:v>
                </c:pt>
                <c:pt idx="88">
                  <c:v>1.480000000000001</c:v>
                </c:pt>
                <c:pt idx="89">
                  <c:v>1.490000000000001</c:v>
                </c:pt>
                <c:pt idx="90">
                  <c:v>1.500000000000001</c:v>
                </c:pt>
                <c:pt idx="91">
                  <c:v>1.510000000000001</c:v>
                </c:pt>
                <c:pt idx="92">
                  <c:v>1.520000000000001</c:v>
                </c:pt>
                <c:pt idx="93">
                  <c:v>1.530000000000001</c:v>
                </c:pt>
                <c:pt idx="94">
                  <c:v>1.540000000000001</c:v>
                </c:pt>
                <c:pt idx="95">
                  <c:v>1.550000000000001</c:v>
                </c:pt>
                <c:pt idx="96">
                  <c:v>1.560000000000001</c:v>
                </c:pt>
                <c:pt idx="97">
                  <c:v>1.570000000000001</c:v>
                </c:pt>
                <c:pt idx="98">
                  <c:v>1.580000000000001</c:v>
                </c:pt>
                <c:pt idx="99">
                  <c:v>1.590000000000001</c:v>
                </c:pt>
                <c:pt idx="100">
                  <c:v>1.600000000000001</c:v>
                </c:pt>
                <c:pt idx="101">
                  <c:v>1.610000000000001</c:v>
                </c:pt>
                <c:pt idx="102">
                  <c:v>1.620000000000001</c:v>
                </c:pt>
                <c:pt idx="103">
                  <c:v>1.630000000000001</c:v>
                </c:pt>
                <c:pt idx="104">
                  <c:v>1.640000000000001</c:v>
                </c:pt>
                <c:pt idx="105">
                  <c:v>1.650000000000001</c:v>
                </c:pt>
                <c:pt idx="106">
                  <c:v>1.660000000000001</c:v>
                </c:pt>
                <c:pt idx="107">
                  <c:v>1.670000000000001</c:v>
                </c:pt>
                <c:pt idx="108">
                  <c:v>1.680000000000001</c:v>
                </c:pt>
                <c:pt idx="109">
                  <c:v>1.690000000000001</c:v>
                </c:pt>
                <c:pt idx="110">
                  <c:v>1.700000000000001</c:v>
                </c:pt>
                <c:pt idx="111">
                  <c:v>1.710000000000001</c:v>
                </c:pt>
                <c:pt idx="112">
                  <c:v>1.720000000000001</c:v>
                </c:pt>
                <c:pt idx="113">
                  <c:v>1.730000000000001</c:v>
                </c:pt>
                <c:pt idx="114">
                  <c:v>1.740000000000001</c:v>
                </c:pt>
                <c:pt idx="115">
                  <c:v>1.750000000000001</c:v>
                </c:pt>
                <c:pt idx="116">
                  <c:v>1.760000000000001</c:v>
                </c:pt>
                <c:pt idx="117">
                  <c:v>1.770000000000001</c:v>
                </c:pt>
                <c:pt idx="118">
                  <c:v>1.780000000000001</c:v>
                </c:pt>
                <c:pt idx="119">
                  <c:v>1.790000000000001</c:v>
                </c:pt>
                <c:pt idx="120">
                  <c:v>1.800000000000001</c:v>
                </c:pt>
                <c:pt idx="121">
                  <c:v>1.810000000000001</c:v>
                </c:pt>
                <c:pt idx="122">
                  <c:v>1.820000000000001</c:v>
                </c:pt>
                <c:pt idx="123">
                  <c:v>1.830000000000001</c:v>
                </c:pt>
                <c:pt idx="124">
                  <c:v>1.840000000000001</c:v>
                </c:pt>
                <c:pt idx="125">
                  <c:v>1.850000000000001</c:v>
                </c:pt>
                <c:pt idx="126">
                  <c:v>1.860000000000001</c:v>
                </c:pt>
                <c:pt idx="127">
                  <c:v>1.870000000000001</c:v>
                </c:pt>
                <c:pt idx="128">
                  <c:v>1.880000000000001</c:v>
                </c:pt>
                <c:pt idx="129">
                  <c:v>1.890000000000001</c:v>
                </c:pt>
                <c:pt idx="130">
                  <c:v>1.900000000000001</c:v>
                </c:pt>
                <c:pt idx="131">
                  <c:v>1.910000000000001</c:v>
                </c:pt>
                <c:pt idx="132">
                  <c:v>1.920000000000001</c:v>
                </c:pt>
                <c:pt idx="133">
                  <c:v>1.930000000000001</c:v>
                </c:pt>
                <c:pt idx="134">
                  <c:v>1.940000000000001</c:v>
                </c:pt>
                <c:pt idx="135">
                  <c:v>1.950000000000001</c:v>
                </c:pt>
                <c:pt idx="136">
                  <c:v>1.960000000000001</c:v>
                </c:pt>
                <c:pt idx="137">
                  <c:v>1.970000000000001</c:v>
                </c:pt>
                <c:pt idx="138">
                  <c:v>1.980000000000001</c:v>
                </c:pt>
                <c:pt idx="139">
                  <c:v>1.990000000000001</c:v>
                </c:pt>
                <c:pt idx="140">
                  <c:v>2.000000000000001</c:v>
                </c:pt>
                <c:pt idx="141">
                  <c:v>2.010000000000001</c:v>
                </c:pt>
                <c:pt idx="142">
                  <c:v>2.02</c:v>
                </c:pt>
                <c:pt idx="143">
                  <c:v>2.03</c:v>
                </c:pt>
                <c:pt idx="144">
                  <c:v>2.04</c:v>
                </c:pt>
                <c:pt idx="145">
                  <c:v>2.05</c:v>
                </c:pt>
                <c:pt idx="146">
                  <c:v>2.06</c:v>
                </c:pt>
                <c:pt idx="147">
                  <c:v>2.069999999999999</c:v>
                </c:pt>
              </c:numCache>
            </c:numRef>
          </c:xVal>
          <c:yVal>
            <c:numRef>
              <c:f>'cycle4 AFTA filters 2'!$G$34:$G$181</c:f>
              <c:numCache>
                <c:formatCode>0.000</c:formatCode>
                <c:ptCount val="1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0.208333333333336</c:v>
                </c:pt>
                <c:pt idx="16">
                  <c:v>0.500000000000003</c:v>
                </c:pt>
                <c:pt idx="17">
                  <c:v>0.79166666666667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0.888888888888883</c:v>
                </c:pt>
                <c:pt idx="37">
                  <c:v>0.662037037037031</c:v>
                </c:pt>
                <c:pt idx="38">
                  <c:v>0.435185185185179</c:v>
                </c:pt>
                <c:pt idx="39">
                  <c:v>0.208333333333327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</c:numCache>
            </c:numRef>
          </c:yVal>
          <c:smooth val="1"/>
        </c:ser>
        <c:dLbls/>
        <c:axId val="576384408"/>
        <c:axId val="576390280"/>
      </c:scatterChart>
      <c:valAx>
        <c:axId val="576384408"/>
        <c:scaling>
          <c:orientation val="minMax"/>
          <c:max val="2.2"/>
          <c:min val="0.600000000000001"/>
        </c:scaling>
        <c:axPos val="b"/>
        <c:majorGridlines>
          <c:spPr>
            <a:ln>
              <a:solidFill>
                <a:srgbClr val="FFC000">
                  <a:alpha val="25000"/>
                </a:srgb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</c:title>
        <c:numFmt formatCode="General" sourceLinked="1"/>
        <c:tickLblPos val="nextTo"/>
        <c:crossAx val="576390280"/>
        <c:crosses val="autoZero"/>
        <c:crossBetween val="midCat"/>
        <c:majorUnit val="0.2"/>
      </c:valAx>
      <c:valAx>
        <c:axId val="576390280"/>
        <c:scaling>
          <c:orientation val="minMax"/>
          <c:max val="1.0"/>
          <c:min val="0.0"/>
        </c:scaling>
        <c:axPos val="l"/>
        <c:majorGridlines>
          <c:spPr>
            <a:ln w="3175">
              <a:solidFill>
                <a:sysClr val="windowText" lastClr="000000">
                  <a:tint val="75000"/>
                  <a:shade val="95000"/>
                  <a:satMod val="105000"/>
                  <a:alpha val="25000"/>
                </a:sysClr>
              </a:solidFill>
              <a:prstDash val="sysDot"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Transmission</a:t>
                </a:r>
              </a:p>
            </c:rich>
          </c:tx>
        </c:title>
        <c:numFmt formatCode="0.0" sourceLinked="0"/>
        <c:tickLblPos val="nextTo"/>
        <c:crossAx val="576384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447477741516"/>
          <c:y val="0.1109892497879"/>
          <c:w val="0.202712775539052"/>
          <c:h val="0.322076677599113"/>
        </c:manualLayout>
      </c:layout>
    </c:legend>
    <c:plotVisOnly val="1"/>
    <c:dispBlanksAs val="gap"/>
  </c:chart>
  <c:txPr>
    <a:bodyPr/>
    <a:lstStyle/>
    <a:p>
      <a:pPr>
        <a:defRPr sz="1400"/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/>
    <c:plotArea>
      <c:layout>
        <c:manualLayout>
          <c:layoutTarget val="inner"/>
          <c:xMode val="edge"/>
          <c:yMode val="edge"/>
          <c:x val="0.0860717410323709"/>
          <c:y val="0.162396106736658"/>
          <c:w val="0.876331146106737"/>
          <c:h val="0.623452537182852"/>
        </c:manualLayout>
      </c:layout>
      <c:scatterChart>
        <c:scatterStyle val="smoothMarker"/>
        <c:ser>
          <c:idx val="9"/>
          <c:order val="0"/>
          <c:tx>
            <c:strRef>
              <c:f>'SWIR data'!$K$4</c:f>
              <c:strCache>
                <c:ptCount val="1"/>
                <c:pt idx="0">
                  <c:v>2/12 QE</c:v>
                </c:pt>
              </c:strCache>
            </c:strRef>
          </c:tx>
          <c:marker>
            <c:symbol val="none"/>
          </c:marker>
          <c:xVal>
            <c:numRef>
              <c:f>'SWIR data'!$A$5:$A$637</c:f>
              <c:numCache>
                <c:formatCode>General</c:formatCode>
                <c:ptCount val="633"/>
                <c:pt idx="0">
                  <c:v>0.5</c:v>
                </c:pt>
                <c:pt idx="1">
                  <c:v>0.503165</c:v>
                </c:pt>
                <c:pt idx="2">
                  <c:v>0.506329</c:v>
                </c:pt>
                <c:pt idx="3">
                  <c:v>0.509494</c:v>
                </c:pt>
                <c:pt idx="4">
                  <c:v>0.512658</c:v>
                </c:pt>
                <c:pt idx="5">
                  <c:v>0.515823</c:v>
                </c:pt>
                <c:pt idx="6">
                  <c:v>0.518987</c:v>
                </c:pt>
                <c:pt idx="7">
                  <c:v>0.522152</c:v>
                </c:pt>
                <c:pt idx="8">
                  <c:v>0.525316</c:v>
                </c:pt>
                <c:pt idx="9">
                  <c:v>0.528481</c:v>
                </c:pt>
                <c:pt idx="10">
                  <c:v>0.531646</c:v>
                </c:pt>
                <c:pt idx="11">
                  <c:v>0.53481</c:v>
                </c:pt>
                <c:pt idx="12">
                  <c:v>0.537975</c:v>
                </c:pt>
                <c:pt idx="13">
                  <c:v>0.541139</c:v>
                </c:pt>
                <c:pt idx="14">
                  <c:v>0.544304</c:v>
                </c:pt>
                <c:pt idx="15">
                  <c:v>0.547468</c:v>
                </c:pt>
                <c:pt idx="16">
                  <c:v>0.550633</c:v>
                </c:pt>
                <c:pt idx="17">
                  <c:v>0.553797</c:v>
                </c:pt>
                <c:pt idx="18">
                  <c:v>0.556962</c:v>
                </c:pt>
                <c:pt idx="19">
                  <c:v>0.560127</c:v>
                </c:pt>
                <c:pt idx="20">
                  <c:v>0.563291</c:v>
                </c:pt>
                <c:pt idx="21">
                  <c:v>0.566456</c:v>
                </c:pt>
                <c:pt idx="22">
                  <c:v>0.56962</c:v>
                </c:pt>
                <c:pt idx="23">
                  <c:v>0.572785</c:v>
                </c:pt>
                <c:pt idx="24">
                  <c:v>0.575949</c:v>
                </c:pt>
                <c:pt idx="25">
                  <c:v>0.579114</c:v>
                </c:pt>
                <c:pt idx="26">
                  <c:v>0.582278</c:v>
                </c:pt>
                <c:pt idx="27">
                  <c:v>0.585443</c:v>
                </c:pt>
                <c:pt idx="28">
                  <c:v>0.588608</c:v>
                </c:pt>
                <c:pt idx="29">
                  <c:v>0.591772</c:v>
                </c:pt>
                <c:pt idx="30">
                  <c:v>0.594937</c:v>
                </c:pt>
                <c:pt idx="31">
                  <c:v>0.598101</c:v>
                </c:pt>
                <c:pt idx="32">
                  <c:v>0.601266</c:v>
                </c:pt>
                <c:pt idx="33">
                  <c:v>0.60443</c:v>
                </c:pt>
                <c:pt idx="34">
                  <c:v>0.607595</c:v>
                </c:pt>
                <c:pt idx="35">
                  <c:v>0.610759</c:v>
                </c:pt>
                <c:pt idx="36">
                  <c:v>0.613924</c:v>
                </c:pt>
                <c:pt idx="37">
                  <c:v>0.617089</c:v>
                </c:pt>
                <c:pt idx="38">
                  <c:v>0.620253</c:v>
                </c:pt>
                <c:pt idx="39">
                  <c:v>0.623418</c:v>
                </c:pt>
                <c:pt idx="40">
                  <c:v>0.626582</c:v>
                </c:pt>
                <c:pt idx="41">
                  <c:v>0.629747</c:v>
                </c:pt>
                <c:pt idx="42">
                  <c:v>0.632911</c:v>
                </c:pt>
                <c:pt idx="43">
                  <c:v>0.636076</c:v>
                </c:pt>
                <c:pt idx="44">
                  <c:v>0.639241</c:v>
                </c:pt>
                <c:pt idx="45">
                  <c:v>0.642405</c:v>
                </c:pt>
                <c:pt idx="46">
                  <c:v>0.64557</c:v>
                </c:pt>
                <c:pt idx="47">
                  <c:v>0.648734</c:v>
                </c:pt>
                <c:pt idx="48">
                  <c:v>0.651899</c:v>
                </c:pt>
                <c:pt idx="49">
                  <c:v>0.655063</c:v>
                </c:pt>
                <c:pt idx="50">
                  <c:v>0.658228</c:v>
                </c:pt>
                <c:pt idx="51">
                  <c:v>0.661392</c:v>
                </c:pt>
                <c:pt idx="52">
                  <c:v>0.664557</c:v>
                </c:pt>
                <c:pt idx="53">
                  <c:v>0.667722</c:v>
                </c:pt>
                <c:pt idx="54">
                  <c:v>0.670886</c:v>
                </c:pt>
                <c:pt idx="55">
                  <c:v>0.674051</c:v>
                </c:pt>
                <c:pt idx="56">
                  <c:v>0.677215</c:v>
                </c:pt>
                <c:pt idx="57">
                  <c:v>0.68038</c:v>
                </c:pt>
                <c:pt idx="58">
                  <c:v>0.683544</c:v>
                </c:pt>
                <c:pt idx="59">
                  <c:v>0.686709</c:v>
                </c:pt>
                <c:pt idx="60">
                  <c:v>0.689873</c:v>
                </c:pt>
                <c:pt idx="61">
                  <c:v>0.693038</c:v>
                </c:pt>
                <c:pt idx="62">
                  <c:v>0.696203</c:v>
                </c:pt>
                <c:pt idx="63">
                  <c:v>0.699367</c:v>
                </c:pt>
                <c:pt idx="64">
                  <c:v>0.702532</c:v>
                </c:pt>
                <c:pt idx="65">
                  <c:v>0.705696</c:v>
                </c:pt>
                <c:pt idx="66">
                  <c:v>0.708861</c:v>
                </c:pt>
                <c:pt idx="67">
                  <c:v>0.712025</c:v>
                </c:pt>
                <c:pt idx="68">
                  <c:v>0.71519</c:v>
                </c:pt>
                <c:pt idx="69">
                  <c:v>0.718354</c:v>
                </c:pt>
                <c:pt idx="70">
                  <c:v>0.721519</c:v>
                </c:pt>
                <c:pt idx="71">
                  <c:v>0.724684</c:v>
                </c:pt>
                <c:pt idx="72">
                  <c:v>0.727848</c:v>
                </c:pt>
                <c:pt idx="73">
                  <c:v>0.731013</c:v>
                </c:pt>
                <c:pt idx="74">
                  <c:v>0.734177</c:v>
                </c:pt>
                <c:pt idx="75">
                  <c:v>0.737342</c:v>
                </c:pt>
                <c:pt idx="76">
                  <c:v>0.740506</c:v>
                </c:pt>
                <c:pt idx="77">
                  <c:v>0.743671</c:v>
                </c:pt>
                <c:pt idx="78">
                  <c:v>0.746835</c:v>
                </c:pt>
                <c:pt idx="79">
                  <c:v>0.75</c:v>
                </c:pt>
                <c:pt idx="80">
                  <c:v>0.753165</c:v>
                </c:pt>
                <c:pt idx="81">
                  <c:v>0.756329</c:v>
                </c:pt>
                <c:pt idx="82">
                  <c:v>0.759494</c:v>
                </c:pt>
                <c:pt idx="83">
                  <c:v>0.762658</c:v>
                </c:pt>
                <c:pt idx="84">
                  <c:v>0.765823</c:v>
                </c:pt>
                <c:pt idx="85">
                  <c:v>0.768987</c:v>
                </c:pt>
                <c:pt idx="86">
                  <c:v>0.772152</c:v>
                </c:pt>
                <c:pt idx="87">
                  <c:v>0.775316</c:v>
                </c:pt>
                <c:pt idx="88">
                  <c:v>0.778481</c:v>
                </c:pt>
                <c:pt idx="89">
                  <c:v>0.781646</c:v>
                </c:pt>
                <c:pt idx="90">
                  <c:v>0.78481</c:v>
                </c:pt>
                <c:pt idx="91">
                  <c:v>0.787975</c:v>
                </c:pt>
                <c:pt idx="92">
                  <c:v>0.791139</c:v>
                </c:pt>
                <c:pt idx="93">
                  <c:v>0.794304</c:v>
                </c:pt>
                <c:pt idx="94">
                  <c:v>0.797468</c:v>
                </c:pt>
                <c:pt idx="95">
                  <c:v>0.800633</c:v>
                </c:pt>
                <c:pt idx="96">
                  <c:v>0.803797</c:v>
                </c:pt>
                <c:pt idx="97">
                  <c:v>0.806962</c:v>
                </c:pt>
                <c:pt idx="98">
                  <c:v>0.810127</c:v>
                </c:pt>
                <c:pt idx="99">
                  <c:v>0.813291</c:v>
                </c:pt>
                <c:pt idx="100">
                  <c:v>0.816456</c:v>
                </c:pt>
                <c:pt idx="101">
                  <c:v>0.81962</c:v>
                </c:pt>
                <c:pt idx="102">
                  <c:v>0.822785</c:v>
                </c:pt>
                <c:pt idx="103">
                  <c:v>0.825949</c:v>
                </c:pt>
                <c:pt idx="104">
                  <c:v>0.829114</c:v>
                </c:pt>
                <c:pt idx="105">
                  <c:v>0.832278</c:v>
                </c:pt>
                <c:pt idx="106">
                  <c:v>0.835443</c:v>
                </c:pt>
                <c:pt idx="107">
                  <c:v>0.838608</c:v>
                </c:pt>
                <c:pt idx="108">
                  <c:v>0.841772</c:v>
                </c:pt>
                <c:pt idx="109">
                  <c:v>0.844937</c:v>
                </c:pt>
                <c:pt idx="110">
                  <c:v>0.848101</c:v>
                </c:pt>
                <c:pt idx="111">
                  <c:v>0.851266</c:v>
                </c:pt>
                <c:pt idx="112">
                  <c:v>0.85443</c:v>
                </c:pt>
                <c:pt idx="113">
                  <c:v>0.857595</c:v>
                </c:pt>
                <c:pt idx="114">
                  <c:v>0.860759</c:v>
                </c:pt>
                <c:pt idx="115">
                  <c:v>0.863924</c:v>
                </c:pt>
                <c:pt idx="116">
                  <c:v>0.867089</c:v>
                </c:pt>
                <c:pt idx="117">
                  <c:v>0.870253</c:v>
                </c:pt>
                <c:pt idx="118">
                  <c:v>0.873418</c:v>
                </c:pt>
                <c:pt idx="119">
                  <c:v>0.876582</c:v>
                </c:pt>
                <c:pt idx="120">
                  <c:v>0.879747</c:v>
                </c:pt>
                <c:pt idx="121">
                  <c:v>0.882911</c:v>
                </c:pt>
                <c:pt idx="122">
                  <c:v>0.886076</c:v>
                </c:pt>
                <c:pt idx="123">
                  <c:v>0.889241</c:v>
                </c:pt>
                <c:pt idx="124">
                  <c:v>0.892405</c:v>
                </c:pt>
                <c:pt idx="125">
                  <c:v>0.89557</c:v>
                </c:pt>
                <c:pt idx="126">
                  <c:v>0.898734</c:v>
                </c:pt>
                <c:pt idx="127">
                  <c:v>0.901899</c:v>
                </c:pt>
                <c:pt idx="128">
                  <c:v>0.905063</c:v>
                </c:pt>
                <c:pt idx="129">
                  <c:v>0.908228</c:v>
                </c:pt>
                <c:pt idx="130">
                  <c:v>0.911392</c:v>
                </c:pt>
                <c:pt idx="131">
                  <c:v>0.914557</c:v>
                </c:pt>
                <c:pt idx="132">
                  <c:v>0.917722</c:v>
                </c:pt>
                <c:pt idx="133">
                  <c:v>0.920886</c:v>
                </c:pt>
                <c:pt idx="134">
                  <c:v>0.924051</c:v>
                </c:pt>
                <c:pt idx="135">
                  <c:v>0.927215</c:v>
                </c:pt>
                <c:pt idx="136">
                  <c:v>0.93038</c:v>
                </c:pt>
                <c:pt idx="137">
                  <c:v>0.933544</c:v>
                </c:pt>
                <c:pt idx="138">
                  <c:v>0.936709</c:v>
                </c:pt>
                <c:pt idx="139">
                  <c:v>0.939873</c:v>
                </c:pt>
                <c:pt idx="140">
                  <c:v>0.943038</c:v>
                </c:pt>
                <c:pt idx="141">
                  <c:v>0.946203</c:v>
                </c:pt>
                <c:pt idx="142">
                  <c:v>0.949367</c:v>
                </c:pt>
                <c:pt idx="143">
                  <c:v>0.952532</c:v>
                </c:pt>
                <c:pt idx="144">
                  <c:v>0.955696</c:v>
                </c:pt>
                <c:pt idx="145">
                  <c:v>0.958861</c:v>
                </c:pt>
                <c:pt idx="146">
                  <c:v>0.962025</c:v>
                </c:pt>
                <c:pt idx="147">
                  <c:v>0.96519</c:v>
                </c:pt>
                <c:pt idx="148">
                  <c:v>0.968354</c:v>
                </c:pt>
                <c:pt idx="149">
                  <c:v>0.971519</c:v>
                </c:pt>
                <c:pt idx="150">
                  <c:v>0.974684</c:v>
                </c:pt>
                <c:pt idx="151">
                  <c:v>0.977848</c:v>
                </c:pt>
                <c:pt idx="152">
                  <c:v>0.981013</c:v>
                </c:pt>
                <c:pt idx="153">
                  <c:v>0.984177</c:v>
                </c:pt>
                <c:pt idx="154">
                  <c:v>0.987342</c:v>
                </c:pt>
                <c:pt idx="155">
                  <c:v>0.990506</c:v>
                </c:pt>
                <c:pt idx="156">
                  <c:v>0.993671</c:v>
                </c:pt>
                <c:pt idx="157">
                  <c:v>0.996835</c:v>
                </c:pt>
                <c:pt idx="158">
                  <c:v>1.0</c:v>
                </c:pt>
                <c:pt idx="159">
                  <c:v>1.003165</c:v>
                </c:pt>
                <c:pt idx="160">
                  <c:v>1.006329</c:v>
                </c:pt>
                <c:pt idx="161">
                  <c:v>1.009494</c:v>
                </c:pt>
                <c:pt idx="162">
                  <c:v>1.012658</c:v>
                </c:pt>
                <c:pt idx="163">
                  <c:v>1.015823</c:v>
                </c:pt>
                <c:pt idx="164">
                  <c:v>1.018987</c:v>
                </c:pt>
                <c:pt idx="165">
                  <c:v>1.022152</c:v>
                </c:pt>
                <c:pt idx="166">
                  <c:v>1.025316</c:v>
                </c:pt>
                <c:pt idx="167">
                  <c:v>1.028481</c:v>
                </c:pt>
                <c:pt idx="168">
                  <c:v>1.031646</c:v>
                </c:pt>
                <c:pt idx="169">
                  <c:v>1.03481</c:v>
                </c:pt>
                <c:pt idx="170">
                  <c:v>1.037975</c:v>
                </c:pt>
                <c:pt idx="171">
                  <c:v>1.041139</c:v>
                </c:pt>
                <c:pt idx="172">
                  <c:v>1.044304</c:v>
                </c:pt>
                <c:pt idx="173">
                  <c:v>1.047468</c:v>
                </c:pt>
                <c:pt idx="174">
                  <c:v>1.050633</c:v>
                </c:pt>
                <c:pt idx="175">
                  <c:v>1.053797</c:v>
                </c:pt>
                <c:pt idx="176">
                  <c:v>1.056962</c:v>
                </c:pt>
                <c:pt idx="177">
                  <c:v>1.060127</c:v>
                </c:pt>
                <c:pt idx="178">
                  <c:v>1.063291</c:v>
                </c:pt>
                <c:pt idx="179">
                  <c:v>1.066456</c:v>
                </c:pt>
                <c:pt idx="180">
                  <c:v>1.06962</c:v>
                </c:pt>
                <c:pt idx="181">
                  <c:v>1.072785</c:v>
                </c:pt>
                <c:pt idx="182">
                  <c:v>1.075949</c:v>
                </c:pt>
                <c:pt idx="183">
                  <c:v>1.079114</c:v>
                </c:pt>
                <c:pt idx="184">
                  <c:v>1.082278</c:v>
                </c:pt>
                <c:pt idx="185">
                  <c:v>1.085443</c:v>
                </c:pt>
                <c:pt idx="186">
                  <c:v>1.088608</c:v>
                </c:pt>
                <c:pt idx="187">
                  <c:v>1.091772</c:v>
                </c:pt>
                <c:pt idx="188">
                  <c:v>1.094937</c:v>
                </c:pt>
                <c:pt idx="189">
                  <c:v>1.098101</c:v>
                </c:pt>
                <c:pt idx="190">
                  <c:v>1.101266</c:v>
                </c:pt>
                <c:pt idx="191">
                  <c:v>1.10443</c:v>
                </c:pt>
                <c:pt idx="192">
                  <c:v>1.107595</c:v>
                </c:pt>
                <c:pt idx="193">
                  <c:v>1.110759</c:v>
                </c:pt>
                <c:pt idx="194">
                  <c:v>1.113924</c:v>
                </c:pt>
                <c:pt idx="195">
                  <c:v>1.117089</c:v>
                </c:pt>
                <c:pt idx="196">
                  <c:v>1.120253</c:v>
                </c:pt>
                <c:pt idx="197">
                  <c:v>1.123418</c:v>
                </c:pt>
                <c:pt idx="198">
                  <c:v>1.126582</c:v>
                </c:pt>
                <c:pt idx="199">
                  <c:v>1.129747</c:v>
                </c:pt>
                <c:pt idx="200">
                  <c:v>1.132911</c:v>
                </c:pt>
                <c:pt idx="201">
                  <c:v>1.136076</c:v>
                </c:pt>
                <c:pt idx="202">
                  <c:v>1.139241</c:v>
                </c:pt>
                <c:pt idx="203">
                  <c:v>1.142405</c:v>
                </c:pt>
                <c:pt idx="204">
                  <c:v>1.14557</c:v>
                </c:pt>
                <c:pt idx="205">
                  <c:v>1.148734</c:v>
                </c:pt>
                <c:pt idx="206">
                  <c:v>1.151899</c:v>
                </c:pt>
                <c:pt idx="207">
                  <c:v>1.155063</c:v>
                </c:pt>
                <c:pt idx="208">
                  <c:v>1.158228</c:v>
                </c:pt>
                <c:pt idx="209">
                  <c:v>1.161392</c:v>
                </c:pt>
                <c:pt idx="210">
                  <c:v>1.164557</c:v>
                </c:pt>
                <c:pt idx="211">
                  <c:v>1.167722</c:v>
                </c:pt>
                <c:pt idx="212">
                  <c:v>1.170886</c:v>
                </c:pt>
                <c:pt idx="213">
                  <c:v>1.174051</c:v>
                </c:pt>
                <c:pt idx="214">
                  <c:v>1.177215</c:v>
                </c:pt>
                <c:pt idx="215">
                  <c:v>1.18038</c:v>
                </c:pt>
                <c:pt idx="216">
                  <c:v>1.183544</c:v>
                </c:pt>
                <c:pt idx="217">
                  <c:v>1.186709</c:v>
                </c:pt>
                <c:pt idx="218">
                  <c:v>1.189873</c:v>
                </c:pt>
                <c:pt idx="219">
                  <c:v>1.193038</c:v>
                </c:pt>
                <c:pt idx="220">
                  <c:v>1.196203</c:v>
                </c:pt>
                <c:pt idx="221">
                  <c:v>1.199367</c:v>
                </c:pt>
                <c:pt idx="222">
                  <c:v>1.202532</c:v>
                </c:pt>
                <c:pt idx="223">
                  <c:v>1.205696</c:v>
                </c:pt>
                <c:pt idx="224">
                  <c:v>1.208861</c:v>
                </c:pt>
                <c:pt idx="225">
                  <c:v>1.212025</c:v>
                </c:pt>
                <c:pt idx="226">
                  <c:v>1.21519</c:v>
                </c:pt>
                <c:pt idx="227">
                  <c:v>1.218354</c:v>
                </c:pt>
                <c:pt idx="228">
                  <c:v>1.221519</c:v>
                </c:pt>
                <c:pt idx="229">
                  <c:v>1.224684</c:v>
                </c:pt>
                <c:pt idx="230">
                  <c:v>1.227848</c:v>
                </c:pt>
                <c:pt idx="231">
                  <c:v>1.231013</c:v>
                </c:pt>
                <c:pt idx="232">
                  <c:v>1.234177</c:v>
                </c:pt>
                <c:pt idx="233">
                  <c:v>1.237342</c:v>
                </c:pt>
                <c:pt idx="234">
                  <c:v>1.240506</c:v>
                </c:pt>
                <c:pt idx="235">
                  <c:v>1.243671</c:v>
                </c:pt>
                <c:pt idx="236">
                  <c:v>1.246835</c:v>
                </c:pt>
                <c:pt idx="237">
                  <c:v>1.25</c:v>
                </c:pt>
                <c:pt idx="238">
                  <c:v>1.253165</c:v>
                </c:pt>
                <c:pt idx="239">
                  <c:v>1.256329</c:v>
                </c:pt>
                <c:pt idx="240">
                  <c:v>1.259494</c:v>
                </c:pt>
                <c:pt idx="241">
                  <c:v>1.262658</c:v>
                </c:pt>
                <c:pt idx="242">
                  <c:v>1.265823</c:v>
                </c:pt>
                <c:pt idx="243">
                  <c:v>1.268987</c:v>
                </c:pt>
                <c:pt idx="244">
                  <c:v>1.272152</c:v>
                </c:pt>
                <c:pt idx="245">
                  <c:v>1.275316</c:v>
                </c:pt>
                <c:pt idx="246">
                  <c:v>1.278481</c:v>
                </c:pt>
                <c:pt idx="247">
                  <c:v>1.281646</c:v>
                </c:pt>
                <c:pt idx="248">
                  <c:v>1.28481</c:v>
                </c:pt>
                <c:pt idx="249">
                  <c:v>1.287975</c:v>
                </c:pt>
                <c:pt idx="250">
                  <c:v>1.291139</c:v>
                </c:pt>
                <c:pt idx="251">
                  <c:v>1.294304</c:v>
                </c:pt>
                <c:pt idx="252">
                  <c:v>1.297468</c:v>
                </c:pt>
                <c:pt idx="253">
                  <c:v>1.300633</c:v>
                </c:pt>
                <c:pt idx="254">
                  <c:v>1.303797</c:v>
                </c:pt>
                <c:pt idx="255">
                  <c:v>1.306962</c:v>
                </c:pt>
                <c:pt idx="256">
                  <c:v>1.310127</c:v>
                </c:pt>
                <c:pt idx="257">
                  <c:v>1.313291</c:v>
                </c:pt>
                <c:pt idx="258">
                  <c:v>1.316456</c:v>
                </c:pt>
                <c:pt idx="259">
                  <c:v>1.31962</c:v>
                </c:pt>
                <c:pt idx="260">
                  <c:v>1.322785</c:v>
                </c:pt>
                <c:pt idx="261">
                  <c:v>1.325949</c:v>
                </c:pt>
                <c:pt idx="262">
                  <c:v>1.329114</c:v>
                </c:pt>
                <c:pt idx="263">
                  <c:v>1.332278</c:v>
                </c:pt>
                <c:pt idx="264">
                  <c:v>1.335443</c:v>
                </c:pt>
                <c:pt idx="265">
                  <c:v>1.338608</c:v>
                </c:pt>
                <c:pt idx="266">
                  <c:v>1.341772</c:v>
                </c:pt>
                <c:pt idx="267">
                  <c:v>1.344937</c:v>
                </c:pt>
                <c:pt idx="268">
                  <c:v>1.348101</c:v>
                </c:pt>
                <c:pt idx="269">
                  <c:v>1.351266</c:v>
                </c:pt>
                <c:pt idx="270">
                  <c:v>1.35443</c:v>
                </c:pt>
                <c:pt idx="271">
                  <c:v>1.357595</c:v>
                </c:pt>
                <c:pt idx="272">
                  <c:v>1.360759</c:v>
                </c:pt>
                <c:pt idx="273">
                  <c:v>1.363924</c:v>
                </c:pt>
                <c:pt idx="274">
                  <c:v>1.367089</c:v>
                </c:pt>
                <c:pt idx="275">
                  <c:v>1.370253</c:v>
                </c:pt>
                <c:pt idx="276">
                  <c:v>1.373418</c:v>
                </c:pt>
                <c:pt idx="277">
                  <c:v>1.376582</c:v>
                </c:pt>
                <c:pt idx="278">
                  <c:v>1.379747</c:v>
                </c:pt>
                <c:pt idx="279">
                  <c:v>1.382911</c:v>
                </c:pt>
                <c:pt idx="280">
                  <c:v>1.386076</c:v>
                </c:pt>
                <c:pt idx="281">
                  <c:v>1.389241</c:v>
                </c:pt>
                <c:pt idx="282">
                  <c:v>1.392405</c:v>
                </c:pt>
                <c:pt idx="283">
                  <c:v>1.39557</c:v>
                </c:pt>
                <c:pt idx="284">
                  <c:v>1.398734</c:v>
                </c:pt>
                <c:pt idx="285">
                  <c:v>1.401899</c:v>
                </c:pt>
                <c:pt idx="286">
                  <c:v>1.405063</c:v>
                </c:pt>
                <c:pt idx="287">
                  <c:v>1.408228</c:v>
                </c:pt>
                <c:pt idx="288">
                  <c:v>1.411392</c:v>
                </c:pt>
                <c:pt idx="289">
                  <c:v>1.414557</c:v>
                </c:pt>
                <c:pt idx="290">
                  <c:v>1.417722</c:v>
                </c:pt>
                <c:pt idx="291">
                  <c:v>1.420886</c:v>
                </c:pt>
                <c:pt idx="292">
                  <c:v>1.424051</c:v>
                </c:pt>
                <c:pt idx="293">
                  <c:v>1.427215</c:v>
                </c:pt>
                <c:pt idx="294">
                  <c:v>1.43038</c:v>
                </c:pt>
                <c:pt idx="295">
                  <c:v>1.433544</c:v>
                </c:pt>
                <c:pt idx="296">
                  <c:v>1.436709</c:v>
                </c:pt>
                <c:pt idx="297">
                  <c:v>1.439873</c:v>
                </c:pt>
                <c:pt idx="298">
                  <c:v>1.443038</c:v>
                </c:pt>
                <c:pt idx="299">
                  <c:v>1.446203</c:v>
                </c:pt>
                <c:pt idx="300">
                  <c:v>1.449367</c:v>
                </c:pt>
                <c:pt idx="301">
                  <c:v>1.452532</c:v>
                </c:pt>
                <c:pt idx="302">
                  <c:v>1.455696</c:v>
                </c:pt>
                <c:pt idx="303">
                  <c:v>1.458861</c:v>
                </c:pt>
                <c:pt idx="304">
                  <c:v>1.462025</c:v>
                </c:pt>
                <c:pt idx="305">
                  <c:v>1.46519</c:v>
                </c:pt>
                <c:pt idx="306">
                  <c:v>1.468354</c:v>
                </c:pt>
                <c:pt idx="307">
                  <c:v>1.471519</c:v>
                </c:pt>
                <c:pt idx="308">
                  <c:v>1.474684</c:v>
                </c:pt>
                <c:pt idx="309">
                  <c:v>1.477848</c:v>
                </c:pt>
                <c:pt idx="310">
                  <c:v>1.481013</c:v>
                </c:pt>
                <c:pt idx="311">
                  <c:v>1.484177</c:v>
                </c:pt>
                <c:pt idx="312">
                  <c:v>1.487342</c:v>
                </c:pt>
                <c:pt idx="313">
                  <c:v>1.490506</c:v>
                </c:pt>
                <c:pt idx="314">
                  <c:v>1.493671</c:v>
                </c:pt>
                <c:pt idx="315">
                  <c:v>1.496835</c:v>
                </c:pt>
                <c:pt idx="316">
                  <c:v>1.5</c:v>
                </c:pt>
                <c:pt idx="317">
                  <c:v>1.503165</c:v>
                </c:pt>
                <c:pt idx="318">
                  <c:v>1.506329</c:v>
                </c:pt>
                <c:pt idx="319">
                  <c:v>1.509494</c:v>
                </c:pt>
                <c:pt idx="320">
                  <c:v>1.512658</c:v>
                </c:pt>
                <c:pt idx="321">
                  <c:v>1.515823</c:v>
                </c:pt>
                <c:pt idx="322">
                  <c:v>1.518987</c:v>
                </c:pt>
                <c:pt idx="323">
                  <c:v>1.522152</c:v>
                </c:pt>
                <c:pt idx="324">
                  <c:v>1.525316</c:v>
                </c:pt>
                <c:pt idx="325">
                  <c:v>1.528481</c:v>
                </c:pt>
                <c:pt idx="326">
                  <c:v>1.531646</c:v>
                </c:pt>
                <c:pt idx="327">
                  <c:v>1.53481</c:v>
                </c:pt>
                <c:pt idx="328">
                  <c:v>1.537975</c:v>
                </c:pt>
                <c:pt idx="329">
                  <c:v>1.541139</c:v>
                </c:pt>
                <c:pt idx="330">
                  <c:v>1.544304</c:v>
                </c:pt>
                <c:pt idx="331">
                  <c:v>1.547468</c:v>
                </c:pt>
                <c:pt idx="332">
                  <c:v>1.550633</c:v>
                </c:pt>
                <c:pt idx="333">
                  <c:v>1.553797</c:v>
                </c:pt>
                <c:pt idx="334">
                  <c:v>1.556962</c:v>
                </c:pt>
                <c:pt idx="335">
                  <c:v>1.560127</c:v>
                </c:pt>
                <c:pt idx="336">
                  <c:v>1.563291</c:v>
                </c:pt>
                <c:pt idx="337">
                  <c:v>1.566456</c:v>
                </c:pt>
                <c:pt idx="338">
                  <c:v>1.56962</c:v>
                </c:pt>
                <c:pt idx="339">
                  <c:v>1.572785</c:v>
                </c:pt>
                <c:pt idx="340">
                  <c:v>1.575949</c:v>
                </c:pt>
                <c:pt idx="341">
                  <c:v>1.579114</c:v>
                </c:pt>
                <c:pt idx="342">
                  <c:v>1.582278</c:v>
                </c:pt>
                <c:pt idx="343">
                  <c:v>1.585443</c:v>
                </c:pt>
                <c:pt idx="344">
                  <c:v>1.588608</c:v>
                </c:pt>
                <c:pt idx="345">
                  <c:v>1.591772</c:v>
                </c:pt>
                <c:pt idx="346">
                  <c:v>1.594937</c:v>
                </c:pt>
                <c:pt idx="347">
                  <c:v>1.598101</c:v>
                </c:pt>
                <c:pt idx="348">
                  <c:v>1.601266</c:v>
                </c:pt>
                <c:pt idx="349">
                  <c:v>1.60443</c:v>
                </c:pt>
                <c:pt idx="350">
                  <c:v>1.607595</c:v>
                </c:pt>
                <c:pt idx="351">
                  <c:v>1.610759</c:v>
                </c:pt>
                <c:pt idx="352">
                  <c:v>1.613924</c:v>
                </c:pt>
                <c:pt idx="353">
                  <c:v>1.617089</c:v>
                </c:pt>
                <c:pt idx="354">
                  <c:v>1.620253</c:v>
                </c:pt>
                <c:pt idx="355">
                  <c:v>1.623418</c:v>
                </c:pt>
                <c:pt idx="356">
                  <c:v>1.626582</c:v>
                </c:pt>
                <c:pt idx="357">
                  <c:v>1.629747</c:v>
                </c:pt>
                <c:pt idx="358">
                  <c:v>1.632911</c:v>
                </c:pt>
                <c:pt idx="359">
                  <c:v>1.636076</c:v>
                </c:pt>
                <c:pt idx="360">
                  <c:v>1.639241</c:v>
                </c:pt>
                <c:pt idx="361">
                  <c:v>1.642405</c:v>
                </c:pt>
                <c:pt idx="362">
                  <c:v>1.64557</c:v>
                </c:pt>
                <c:pt idx="363">
                  <c:v>1.648734</c:v>
                </c:pt>
                <c:pt idx="364">
                  <c:v>1.651899</c:v>
                </c:pt>
                <c:pt idx="365">
                  <c:v>1.655063</c:v>
                </c:pt>
                <c:pt idx="366">
                  <c:v>1.658228</c:v>
                </c:pt>
                <c:pt idx="367">
                  <c:v>1.661392</c:v>
                </c:pt>
                <c:pt idx="368">
                  <c:v>1.664557</c:v>
                </c:pt>
                <c:pt idx="369">
                  <c:v>1.667722</c:v>
                </c:pt>
                <c:pt idx="370">
                  <c:v>1.670886</c:v>
                </c:pt>
                <c:pt idx="371">
                  <c:v>1.674051</c:v>
                </c:pt>
                <c:pt idx="372">
                  <c:v>1.677215</c:v>
                </c:pt>
                <c:pt idx="373">
                  <c:v>1.68038</c:v>
                </c:pt>
                <c:pt idx="374">
                  <c:v>1.683544</c:v>
                </c:pt>
                <c:pt idx="375">
                  <c:v>1.686709</c:v>
                </c:pt>
                <c:pt idx="376">
                  <c:v>1.689873</c:v>
                </c:pt>
                <c:pt idx="377">
                  <c:v>1.693038</c:v>
                </c:pt>
                <c:pt idx="378">
                  <c:v>1.696203</c:v>
                </c:pt>
                <c:pt idx="379">
                  <c:v>1.699367</c:v>
                </c:pt>
                <c:pt idx="380">
                  <c:v>1.702532</c:v>
                </c:pt>
                <c:pt idx="381">
                  <c:v>1.705696</c:v>
                </c:pt>
                <c:pt idx="382">
                  <c:v>1.708861</c:v>
                </c:pt>
                <c:pt idx="383">
                  <c:v>1.712025</c:v>
                </c:pt>
                <c:pt idx="384">
                  <c:v>1.71519</c:v>
                </c:pt>
                <c:pt idx="385">
                  <c:v>1.718354</c:v>
                </c:pt>
                <c:pt idx="386">
                  <c:v>1.721519</c:v>
                </c:pt>
                <c:pt idx="387">
                  <c:v>1.724684</c:v>
                </c:pt>
                <c:pt idx="388">
                  <c:v>1.727848</c:v>
                </c:pt>
                <c:pt idx="389">
                  <c:v>1.731013</c:v>
                </c:pt>
                <c:pt idx="390">
                  <c:v>1.734177</c:v>
                </c:pt>
                <c:pt idx="391">
                  <c:v>1.737342</c:v>
                </c:pt>
                <c:pt idx="392">
                  <c:v>1.740506</c:v>
                </c:pt>
                <c:pt idx="393">
                  <c:v>1.743671</c:v>
                </c:pt>
                <c:pt idx="394">
                  <c:v>1.746835</c:v>
                </c:pt>
                <c:pt idx="395">
                  <c:v>1.75</c:v>
                </c:pt>
                <c:pt idx="396">
                  <c:v>1.753165</c:v>
                </c:pt>
                <c:pt idx="397">
                  <c:v>1.756329</c:v>
                </c:pt>
                <c:pt idx="398">
                  <c:v>1.759494</c:v>
                </c:pt>
                <c:pt idx="399">
                  <c:v>1.762658</c:v>
                </c:pt>
                <c:pt idx="400">
                  <c:v>1.765823</c:v>
                </c:pt>
                <c:pt idx="401">
                  <c:v>1.768987</c:v>
                </c:pt>
                <c:pt idx="402">
                  <c:v>1.772152</c:v>
                </c:pt>
                <c:pt idx="403">
                  <c:v>1.775316</c:v>
                </c:pt>
                <c:pt idx="404">
                  <c:v>1.778481</c:v>
                </c:pt>
                <c:pt idx="405">
                  <c:v>1.781646</c:v>
                </c:pt>
                <c:pt idx="406">
                  <c:v>1.78481</c:v>
                </c:pt>
                <c:pt idx="407">
                  <c:v>1.787975</c:v>
                </c:pt>
                <c:pt idx="408">
                  <c:v>1.791139</c:v>
                </c:pt>
                <c:pt idx="409">
                  <c:v>1.794304</c:v>
                </c:pt>
                <c:pt idx="410">
                  <c:v>1.797468</c:v>
                </c:pt>
                <c:pt idx="411">
                  <c:v>1.800633</c:v>
                </c:pt>
                <c:pt idx="412">
                  <c:v>1.803797</c:v>
                </c:pt>
                <c:pt idx="413">
                  <c:v>1.806962</c:v>
                </c:pt>
                <c:pt idx="414">
                  <c:v>1.810127</c:v>
                </c:pt>
                <c:pt idx="415">
                  <c:v>1.813291</c:v>
                </c:pt>
                <c:pt idx="416">
                  <c:v>1.816456</c:v>
                </c:pt>
                <c:pt idx="417">
                  <c:v>1.81962</c:v>
                </c:pt>
                <c:pt idx="418">
                  <c:v>1.822785</c:v>
                </c:pt>
                <c:pt idx="419">
                  <c:v>1.825949</c:v>
                </c:pt>
                <c:pt idx="420">
                  <c:v>1.829114</c:v>
                </c:pt>
                <c:pt idx="421">
                  <c:v>1.832278</c:v>
                </c:pt>
                <c:pt idx="422">
                  <c:v>1.835443</c:v>
                </c:pt>
                <c:pt idx="423">
                  <c:v>1.838608</c:v>
                </c:pt>
                <c:pt idx="424">
                  <c:v>1.841772</c:v>
                </c:pt>
                <c:pt idx="425">
                  <c:v>1.844937</c:v>
                </c:pt>
                <c:pt idx="426">
                  <c:v>1.848101</c:v>
                </c:pt>
                <c:pt idx="427">
                  <c:v>1.851266</c:v>
                </c:pt>
                <c:pt idx="428">
                  <c:v>1.85443</c:v>
                </c:pt>
                <c:pt idx="429">
                  <c:v>1.857595</c:v>
                </c:pt>
                <c:pt idx="430">
                  <c:v>1.860759</c:v>
                </c:pt>
                <c:pt idx="431">
                  <c:v>1.863924</c:v>
                </c:pt>
                <c:pt idx="432">
                  <c:v>1.867089</c:v>
                </c:pt>
                <c:pt idx="433">
                  <c:v>1.870253</c:v>
                </c:pt>
                <c:pt idx="434">
                  <c:v>1.873418</c:v>
                </c:pt>
                <c:pt idx="435">
                  <c:v>1.876582</c:v>
                </c:pt>
                <c:pt idx="436">
                  <c:v>1.879747</c:v>
                </c:pt>
                <c:pt idx="437">
                  <c:v>1.882911</c:v>
                </c:pt>
                <c:pt idx="438">
                  <c:v>1.886076</c:v>
                </c:pt>
                <c:pt idx="439">
                  <c:v>1.889241</c:v>
                </c:pt>
                <c:pt idx="440">
                  <c:v>1.892405</c:v>
                </c:pt>
                <c:pt idx="441">
                  <c:v>1.89557</c:v>
                </c:pt>
                <c:pt idx="442">
                  <c:v>1.898734</c:v>
                </c:pt>
                <c:pt idx="443">
                  <c:v>1.901899</c:v>
                </c:pt>
                <c:pt idx="444">
                  <c:v>1.905063</c:v>
                </c:pt>
                <c:pt idx="445">
                  <c:v>1.908228</c:v>
                </c:pt>
                <c:pt idx="446">
                  <c:v>1.911392</c:v>
                </c:pt>
                <c:pt idx="447">
                  <c:v>1.914557</c:v>
                </c:pt>
                <c:pt idx="448">
                  <c:v>1.917722</c:v>
                </c:pt>
                <c:pt idx="449">
                  <c:v>1.920886</c:v>
                </c:pt>
                <c:pt idx="450">
                  <c:v>1.924051</c:v>
                </c:pt>
                <c:pt idx="451">
                  <c:v>1.927215</c:v>
                </c:pt>
                <c:pt idx="452">
                  <c:v>1.93038</c:v>
                </c:pt>
                <c:pt idx="453">
                  <c:v>1.933544</c:v>
                </c:pt>
                <c:pt idx="454">
                  <c:v>1.936709</c:v>
                </c:pt>
                <c:pt idx="455">
                  <c:v>1.939873</c:v>
                </c:pt>
                <c:pt idx="456">
                  <c:v>1.943038</c:v>
                </c:pt>
                <c:pt idx="457">
                  <c:v>1.946203</c:v>
                </c:pt>
                <c:pt idx="458">
                  <c:v>1.949367</c:v>
                </c:pt>
                <c:pt idx="459">
                  <c:v>1.952532</c:v>
                </c:pt>
                <c:pt idx="460">
                  <c:v>1.955696</c:v>
                </c:pt>
                <c:pt idx="461">
                  <c:v>1.958861</c:v>
                </c:pt>
                <c:pt idx="462">
                  <c:v>1.962025</c:v>
                </c:pt>
                <c:pt idx="463">
                  <c:v>1.96519</c:v>
                </c:pt>
                <c:pt idx="464">
                  <c:v>1.968354</c:v>
                </c:pt>
                <c:pt idx="465">
                  <c:v>1.971519</c:v>
                </c:pt>
                <c:pt idx="466">
                  <c:v>1.974684</c:v>
                </c:pt>
                <c:pt idx="467">
                  <c:v>1.977848</c:v>
                </c:pt>
                <c:pt idx="468">
                  <c:v>1.981013</c:v>
                </c:pt>
                <c:pt idx="469">
                  <c:v>1.984177</c:v>
                </c:pt>
                <c:pt idx="470">
                  <c:v>1.987342</c:v>
                </c:pt>
                <c:pt idx="471">
                  <c:v>1.990506</c:v>
                </c:pt>
                <c:pt idx="472">
                  <c:v>1.993671</c:v>
                </c:pt>
                <c:pt idx="473">
                  <c:v>1.996835</c:v>
                </c:pt>
                <c:pt idx="474">
                  <c:v>2.0</c:v>
                </c:pt>
                <c:pt idx="475">
                  <c:v>2.003165</c:v>
                </c:pt>
                <c:pt idx="476">
                  <c:v>2.006329</c:v>
                </c:pt>
                <c:pt idx="477">
                  <c:v>2.009494</c:v>
                </c:pt>
                <c:pt idx="478">
                  <c:v>2.012658</c:v>
                </c:pt>
                <c:pt idx="479">
                  <c:v>2.015823</c:v>
                </c:pt>
                <c:pt idx="480">
                  <c:v>2.018987</c:v>
                </c:pt>
                <c:pt idx="481">
                  <c:v>2.022152</c:v>
                </c:pt>
                <c:pt idx="482">
                  <c:v>2.025316</c:v>
                </c:pt>
                <c:pt idx="483">
                  <c:v>2.028481</c:v>
                </c:pt>
                <c:pt idx="484">
                  <c:v>2.031646</c:v>
                </c:pt>
                <c:pt idx="485">
                  <c:v>2.03481</c:v>
                </c:pt>
                <c:pt idx="486">
                  <c:v>2.037975</c:v>
                </c:pt>
                <c:pt idx="487">
                  <c:v>2.041139</c:v>
                </c:pt>
                <c:pt idx="488">
                  <c:v>2.044304</c:v>
                </c:pt>
                <c:pt idx="489">
                  <c:v>2.047468</c:v>
                </c:pt>
                <c:pt idx="490">
                  <c:v>2.050633</c:v>
                </c:pt>
                <c:pt idx="491">
                  <c:v>2.053797</c:v>
                </c:pt>
                <c:pt idx="492">
                  <c:v>2.056962</c:v>
                </c:pt>
                <c:pt idx="493">
                  <c:v>2.060127</c:v>
                </c:pt>
                <c:pt idx="494">
                  <c:v>2.063291</c:v>
                </c:pt>
                <c:pt idx="495">
                  <c:v>2.066456</c:v>
                </c:pt>
                <c:pt idx="496">
                  <c:v>2.06962</c:v>
                </c:pt>
                <c:pt idx="497">
                  <c:v>2.072785</c:v>
                </c:pt>
                <c:pt idx="498">
                  <c:v>2.075949</c:v>
                </c:pt>
                <c:pt idx="499">
                  <c:v>2.079114</c:v>
                </c:pt>
                <c:pt idx="500">
                  <c:v>2.082278</c:v>
                </c:pt>
                <c:pt idx="501">
                  <c:v>2.085443</c:v>
                </c:pt>
                <c:pt idx="502">
                  <c:v>2.088608</c:v>
                </c:pt>
                <c:pt idx="503">
                  <c:v>2.091772</c:v>
                </c:pt>
                <c:pt idx="504">
                  <c:v>2.094937</c:v>
                </c:pt>
                <c:pt idx="505">
                  <c:v>2.098101</c:v>
                </c:pt>
                <c:pt idx="506">
                  <c:v>2.101266</c:v>
                </c:pt>
                <c:pt idx="507">
                  <c:v>2.10443</c:v>
                </c:pt>
                <c:pt idx="508">
                  <c:v>2.107595</c:v>
                </c:pt>
                <c:pt idx="509">
                  <c:v>2.110759</c:v>
                </c:pt>
                <c:pt idx="510">
                  <c:v>2.113924</c:v>
                </c:pt>
                <c:pt idx="511">
                  <c:v>2.117089</c:v>
                </c:pt>
                <c:pt idx="512">
                  <c:v>2.120253</c:v>
                </c:pt>
                <c:pt idx="513">
                  <c:v>2.123418</c:v>
                </c:pt>
                <c:pt idx="514">
                  <c:v>2.126582</c:v>
                </c:pt>
                <c:pt idx="515">
                  <c:v>2.129747</c:v>
                </c:pt>
                <c:pt idx="516">
                  <c:v>2.132911</c:v>
                </c:pt>
                <c:pt idx="517">
                  <c:v>2.136076</c:v>
                </c:pt>
                <c:pt idx="518">
                  <c:v>2.139241</c:v>
                </c:pt>
                <c:pt idx="519">
                  <c:v>2.142405</c:v>
                </c:pt>
                <c:pt idx="520">
                  <c:v>2.14557</c:v>
                </c:pt>
                <c:pt idx="521">
                  <c:v>2.148734</c:v>
                </c:pt>
                <c:pt idx="522">
                  <c:v>2.151899</c:v>
                </c:pt>
                <c:pt idx="523">
                  <c:v>2.155063</c:v>
                </c:pt>
                <c:pt idx="524">
                  <c:v>2.158228</c:v>
                </c:pt>
                <c:pt idx="525">
                  <c:v>2.161392</c:v>
                </c:pt>
                <c:pt idx="526">
                  <c:v>2.164557</c:v>
                </c:pt>
                <c:pt idx="527">
                  <c:v>2.167722</c:v>
                </c:pt>
                <c:pt idx="528">
                  <c:v>2.170886</c:v>
                </c:pt>
                <c:pt idx="529">
                  <c:v>2.174051</c:v>
                </c:pt>
                <c:pt idx="530">
                  <c:v>2.177215</c:v>
                </c:pt>
                <c:pt idx="531">
                  <c:v>2.18038</c:v>
                </c:pt>
                <c:pt idx="532">
                  <c:v>2.183544</c:v>
                </c:pt>
                <c:pt idx="533">
                  <c:v>2.186709</c:v>
                </c:pt>
                <c:pt idx="534">
                  <c:v>2.189873</c:v>
                </c:pt>
                <c:pt idx="535">
                  <c:v>2.193038</c:v>
                </c:pt>
                <c:pt idx="536">
                  <c:v>2.196203</c:v>
                </c:pt>
                <c:pt idx="537">
                  <c:v>2.199367</c:v>
                </c:pt>
                <c:pt idx="538">
                  <c:v>2.202532</c:v>
                </c:pt>
                <c:pt idx="539">
                  <c:v>2.205696</c:v>
                </c:pt>
                <c:pt idx="540">
                  <c:v>2.208861</c:v>
                </c:pt>
                <c:pt idx="541">
                  <c:v>2.212025</c:v>
                </c:pt>
                <c:pt idx="542">
                  <c:v>2.21519</c:v>
                </c:pt>
                <c:pt idx="543">
                  <c:v>2.218354</c:v>
                </c:pt>
                <c:pt idx="544">
                  <c:v>2.221519</c:v>
                </c:pt>
                <c:pt idx="545">
                  <c:v>2.224684</c:v>
                </c:pt>
                <c:pt idx="546">
                  <c:v>2.227848</c:v>
                </c:pt>
                <c:pt idx="547">
                  <c:v>2.231013</c:v>
                </c:pt>
                <c:pt idx="548">
                  <c:v>2.234177</c:v>
                </c:pt>
                <c:pt idx="549">
                  <c:v>2.237342</c:v>
                </c:pt>
                <c:pt idx="550">
                  <c:v>2.240506</c:v>
                </c:pt>
                <c:pt idx="551">
                  <c:v>2.243671</c:v>
                </c:pt>
                <c:pt idx="552">
                  <c:v>2.246835</c:v>
                </c:pt>
                <c:pt idx="553">
                  <c:v>2.25</c:v>
                </c:pt>
                <c:pt idx="554">
                  <c:v>2.253165</c:v>
                </c:pt>
                <c:pt idx="555">
                  <c:v>2.256329</c:v>
                </c:pt>
                <c:pt idx="556">
                  <c:v>2.259494</c:v>
                </c:pt>
                <c:pt idx="557">
                  <c:v>2.262658</c:v>
                </c:pt>
                <c:pt idx="558">
                  <c:v>2.265823</c:v>
                </c:pt>
                <c:pt idx="559">
                  <c:v>2.268987</c:v>
                </c:pt>
                <c:pt idx="560">
                  <c:v>2.272152</c:v>
                </c:pt>
                <c:pt idx="561">
                  <c:v>2.275316</c:v>
                </c:pt>
                <c:pt idx="562">
                  <c:v>2.278481</c:v>
                </c:pt>
                <c:pt idx="563">
                  <c:v>2.281646</c:v>
                </c:pt>
                <c:pt idx="564">
                  <c:v>2.28481</c:v>
                </c:pt>
                <c:pt idx="565">
                  <c:v>2.287975</c:v>
                </c:pt>
                <c:pt idx="566">
                  <c:v>2.291139</c:v>
                </c:pt>
                <c:pt idx="567">
                  <c:v>2.294304</c:v>
                </c:pt>
                <c:pt idx="568">
                  <c:v>2.297468</c:v>
                </c:pt>
                <c:pt idx="569">
                  <c:v>2.300633</c:v>
                </c:pt>
                <c:pt idx="570">
                  <c:v>2.303797</c:v>
                </c:pt>
                <c:pt idx="571">
                  <c:v>2.306962</c:v>
                </c:pt>
                <c:pt idx="572">
                  <c:v>2.310127</c:v>
                </c:pt>
                <c:pt idx="573">
                  <c:v>2.313291</c:v>
                </c:pt>
                <c:pt idx="574">
                  <c:v>2.316456</c:v>
                </c:pt>
                <c:pt idx="575">
                  <c:v>2.31962</c:v>
                </c:pt>
                <c:pt idx="576">
                  <c:v>2.322785</c:v>
                </c:pt>
                <c:pt idx="577">
                  <c:v>2.325949</c:v>
                </c:pt>
                <c:pt idx="578">
                  <c:v>2.329114</c:v>
                </c:pt>
                <c:pt idx="579">
                  <c:v>2.332278</c:v>
                </c:pt>
                <c:pt idx="580">
                  <c:v>2.335443</c:v>
                </c:pt>
                <c:pt idx="581">
                  <c:v>2.338608</c:v>
                </c:pt>
                <c:pt idx="582">
                  <c:v>2.341772</c:v>
                </c:pt>
                <c:pt idx="583">
                  <c:v>2.344937</c:v>
                </c:pt>
                <c:pt idx="584">
                  <c:v>2.348101</c:v>
                </c:pt>
                <c:pt idx="585">
                  <c:v>2.351266</c:v>
                </c:pt>
                <c:pt idx="586">
                  <c:v>2.35443</c:v>
                </c:pt>
                <c:pt idx="587">
                  <c:v>2.357595</c:v>
                </c:pt>
                <c:pt idx="588">
                  <c:v>2.360759</c:v>
                </c:pt>
                <c:pt idx="589">
                  <c:v>2.363924</c:v>
                </c:pt>
                <c:pt idx="590">
                  <c:v>2.367089</c:v>
                </c:pt>
                <c:pt idx="591">
                  <c:v>2.370253</c:v>
                </c:pt>
                <c:pt idx="592">
                  <c:v>2.373418</c:v>
                </c:pt>
                <c:pt idx="593">
                  <c:v>2.376582</c:v>
                </c:pt>
                <c:pt idx="594">
                  <c:v>2.379747</c:v>
                </c:pt>
                <c:pt idx="595">
                  <c:v>2.382911</c:v>
                </c:pt>
                <c:pt idx="596">
                  <c:v>2.386076</c:v>
                </c:pt>
                <c:pt idx="597">
                  <c:v>2.389241</c:v>
                </c:pt>
                <c:pt idx="598">
                  <c:v>2.392405</c:v>
                </c:pt>
                <c:pt idx="599">
                  <c:v>2.39557</c:v>
                </c:pt>
                <c:pt idx="600">
                  <c:v>2.398734</c:v>
                </c:pt>
                <c:pt idx="601">
                  <c:v>2.401899</c:v>
                </c:pt>
                <c:pt idx="602">
                  <c:v>2.405063</c:v>
                </c:pt>
                <c:pt idx="603">
                  <c:v>2.408228</c:v>
                </c:pt>
                <c:pt idx="604">
                  <c:v>2.411392</c:v>
                </c:pt>
                <c:pt idx="605">
                  <c:v>2.414557</c:v>
                </c:pt>
                <c:pt idx="606">
                  <c:v>2.417722</c:v>
                </c:pt>
                <c:pt idx="607">
                  <c:v>2.420886</c:v>
                </c:pt>
                <c:pt idx="608">
                  <c:v>2.424051</c:v>
                </c:pt>
                <c:pt idx="609">
                  <c:v>2.427215</c:v>
                </c:pt>
                <c:pt idx="610">
                  <c:v>2.43038</c:v>
                </c:pt>
                <c:pt idx="611">
                  <c:v>2.433544</c:v>
                </c:pt>
                <c:pt idx="612">
                  <c:v>2.436709</c:v>
                </c:pt>
                <c:pt idx="613">
                  <c:v>2.439873</c:v>
                </c:pt>
                <c:pt idx="614">
                  <c:v>2.443038</c:v>
                </c:pt>
                <c:pt idx="615">
                  <c:v>2.446203</c:v>
                </c:pt>
                <c:pt idx="616">
                  <c:v>2.449367</c:v>
                </c:pt>
                <c:pt idx="617">
                  <c:v>2.452532</c:v>
                </c:pt>
                <c:pt idx="618">
                  <c:v>2.455696</c:v>
                </c:pt>
                <c:pt idx="619">
                  <c:v>2.458861</c:v>
                </c:pt>
                <c:pt idx="620">
                  <c:v>2.462025</c:v>
                </c:pt>
                <c:pt idx="621">
                  <c:v>2.46519</c:v>
                </c:pt>
                <c:pt idx="622">
                  <c:v>2.468354</c:v>
                </c:pt>
                <c:pt idx="623">
                  <c:v>2.471519</c:v>
                </c:pt>
                <c:pt idx="624">
                  <c:v>2.474684</c:v>
                </c:pt>
                <c:pt idx="625">
                  <c:v>2.477848</c:v>
                </c:pt>
                <c:pt idx="626">
                  <c:v>2.481013</c:v>
                </c:pt>
                <c:pt idx="627">
                  <c:v>2.484177</c:v>
                </c:pt>
                <c:pt idx="628">
                  <c:v>2.487342</c:v>
                </c:pt>
                <c:pt idx="629">
                  <c:v>2.490506</c:v>
                </c:pt>
                <c:pt idx="630">
                  <c:v>2.493671</c:v>
                </c:pt>
                <c:pt idx="631">
                  <c:v>2.496835</c:v>
                </c:pt>
                <c:pt idx="632">
                  <c:v>2.5</c:v>
                </c:pt>
              </c:numCache>
            </c:numRef>
          </c:xVal>
          <c:yVal>
            <c:numRef>
              <c:f>'SWIR data'!$K$5:$K$637</c:f>
              <c:numCache>
                <c:formatCode>General</c:formatCode>
                <c:ptCount val="633"/>
                <c:pt idx="0">
                  <c:v>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70.0</c:v>
                </c:pt>
                <c:pt idx="11">
                  <c:v>70.0</c:v>
                </c:pt>
                <c:pt idx="12">
                  <c:v>70.0</c:v>
                </c:pt>
                <c:pt idx="13">
                  <c:v>70.0</c:v>
                </c:pt>
                <c:pt idx="14">
                  <c:v>70.38749374187628</c:v>
                </c:pt>
                <c:pt idx="15">
                  <c:v>70.7883728682439</c:v>
                </c:pt>
                <c:pt idx="16">
                  <c:v>71.15332536498781</c:v>
                </c:pt>
                <c:pt idx="17">
                  <c:v>71.5146051489723</c:v>
                </c:pt>
                <c:pt idx="18">
                  <c:v>71.8698603088299</c:v>
                </c:pt>
                <c:pt idx="19">
                  <c:v>72.21828483366995</c:v>
                </c:pt>
                <c:pt idx="20">
                  <c:v>72.55828203147489</c:v>
                </c:pt>
                <c:pt idx="21">
                  <c:v>72.88907051059743</c:v>
                </c:pt>
                <c:pt idx="22">
                  <c:v>73.2098296939304</c:v>
                </c:pt>
                <c:pt idx="23">
                  <c:v>73.51977573868787</c:v>
                </c:pt>
                <c:pt idx="24">
                  <c:v>73.81729479560266</c:v>
                </c:pt>
                <c:pt idx="25">
                  <c:v>74.10159958149716</c:v>
                </c:pt>
                <c:pt idx="26">
                  <c:v>74.37265419976806</c:v>
                </c:pt>
                <c:pt idx="27">
                  <c:v>74.62966986950283</c:v>
                </c:pt>
                <c:pt idx="28">
                  <c:v>74.87261933190501</c:v>
                </c:pt>
                <c:pt idx="29">
                  <c:v>75.09989092842412</c:v>
                </c:pt>
                <c:pt idx="30">
                  <c:v>75.31227707475354</c:v>
                </c:pt>
                <c:pt idx="31">
                  <c:v>75.50894683913133</c:v>
                </c:pt>
                <c:pt idx="32">
                  <c:v>75.68990026266047</c:v>
                </c:pt>
                <c:pt idx="33">
                  <c:v>75.85509814432572</c:v>
                </c:pt>
                <c:pt idx="34">
                  <c:v>76.0045406031094</c:v>
                </c:pt>
                <c:pt idx="35">
                  <c:v>76.13818836835806</c:v>
                </c:pt>
                <c:pt idx="36">
                  <c:v>76.25683604524574</c:v>
                </c:pt>
                <c:pt idx="37">
                  <c:v>76.35886568389051</c:v>
                </c:pt>
                <c:pt idx="38">
                  <c:v>76.44583699258939</c:v>
                </c:pt>
                <c:pt idx="39">
                  <c:v>76.51854659406492</c:v>
                </c:pt>
                <c:pt idx="40">
                  <c:v>76.57616134204189</c:v>
                </c:pt>
                <c:pt idx="41">
                  <c:v>76.61947853254884</c:v>
                </c:pt>
                <c:pt idx="42">
                  <c:v>76.64846073436805</c:v>
                </c:pt>
                <c:pt idx="43">
                  <c:v>76.66470358649794</c:v>
                </c:pt>
                <c:pt idx="44">
                  <c:v>76.66818152381137</c:v>
                </c:pt>
                <c:pt idx="45">
                  <c:v>76.65886899230699</c:v>
                </c:pt>
                <c:pt idx="46">
                  <c:v>76.63756784158487</c:v>
                </c:pt>
                <c:pt idx="47">
                  <c:v>76.60504161244275</c:v>
                </c:pt>
                <c:pt idx="48">
                  <c:v>76.5620947354183</c:v>
                </c:pt>
                <c:pt idx="49">
                  <c:v>76.50869472926706</c:v>
                </c:pt>
                <c:pt idx="50">
                  <c:v>76.44564761621137</c:v>
                </c:pt>
                <c:pt idx="51">
                  <c:v>76.37372125121368</c:v>
                </c:pt>
                <c:pt idx="52">
                  <c:v>76.292924575254</c:v>
                </c:pt>
                <c:pt idx="53">
                  <c:v>76.20483690625382</c:v>
                </c:pt>
                <c:pt idx="54">
                  <c:v>76.108639351401</c:v>
                </c:pt>
                <c:pt idx="55">
                  <c:v>76.00594297804292</c:v>
                </c:pt>
                <c:pt idx="56">
                  <c:v>75.89752133107207</c:v>
                </c:pt>
                <c:pt idx="57">
                  <c:v>75.78338710564368</c:v>
                </c:pt>
                <c:pt idx="58">
                  <c:v>75.66351395155354</c:v>
                </c:pt>
                <c:pt idx="59">
                  <c:v>75.53951833485557</c:v>
                </c:pt>
                <c:pt idx="60">
                  <c:v>75.41137593844937</c:v>
                </c:pt>
                <c:pt idx="61">
                  <c:v>75.27990383415109</c:v>
                </c:pt>
                <c:pt idx="62">
                  <c:v>75.13384779493417</c:v>
                </c:pt>
                <c:pt idx="63">
                  <c:v>74.9426579843161</c:v>
                </c:pt>
                <c:pt idx="64">
                  <c:v>74.74888717996519</c:v>
                </c:pt>
                <c:pt idx="65">
                  <c:v>74.55331713253589</c:v>
                </c:pt>
                <c:pt idx="66">
                  <c:v>74.35757343201685</c:v>
                </c:pt>
                <c:pt idx="67">
                  <c:v>74.16002793838634</c:v>
                </c:pt>
                <c:pt idx="68">
                  <c:v>73.9631122863126</c:v>
                </c:pt>
                <c:pt idx="69">
                  <c:v>73.7660033086855</c:v>
                </c:pt>
                <c:pt idx="70">
                  <c:v>73.56952541847844</c:v>
                </c:pt>
                <c:pt idx="71">
                  <c:v>73.37447596188828</c:v>
                </c:pt>
                <c:pt idx="72">
                  <c:v>73.18084754377784</c:v>
                </c:pt>
                <c:pt idx="73">
                  <c:v>72.9878543647976</c:v>
                </c:pt>
                <c:pt idx="74">
                  <c:v>72.79789916648642</c:v>
                </c:pt>
                <c:pt idx="75">
                  <c:v>72.60939020144319</c:v>
                </c:pt>
                <c:pt idx="76">
                  <c:v>72.42392579272182</c:v>
                </c:pt>
                <c:pt idx="77">
                  <c:v>72.24072056858796</c:v>
                </c:pt>
                <c:pt idx="78">
                  <c:v>72.05975901045147</c:v>
                </c:pt>
                <c:pt idx="79">
                  <c:v>71.88267933618751</c:v>
                </c:pt>
                <c:pt idx="80">
                  <c:v>71.70947722380214</c:v>
                </c:pt>
                <c:pt idx="81">
                  <c:v>71.53853026605786</c:v>
                </c:pt>
                <c:pt idx="82">
                  <c:v>71.37147848060472</c:v>
                </c:pt>
                <c:pt idx="83">
                  <c:v>71.20911831184635</c:v>
                </c:pt>
                <c:pt idx="84">
                  <c:v>71.0498536251792</c:v>
                </c:pt>
                <c:pt idx="85">
                  <c:v>70.89448063651967</c:v>
                </c:pt>
                <c:pt idx="86">
                  <c:v>70.7430222830824</c:v>
                </c:pt>
                <c:pt idx="87">
                  <c:v>70.59546545363452</c:v>
                </c:pt>
                <c:pt idx="88">
                  <c:v>70.45264437054583</c:v>
                </c:pt>
                <c:pt idx="89">
                  <c:v>70.31374421092039</c:v>
                </c:pt>
                <c:pt idx="90">
                  <c:v>70.17957299104171</c:v>
                </c:pt>
                <c:pt idx="91">
                  <c:v>70.05015440579964</c:v>
                </c:pt>
                <c:pt idx="92">
                  <c:v>70.0</c:v>
                </c:pt>
                <c:pt idx="93">
                  <c:v>70.0</c:v>
                </c:pt>
                <c:pt idx="94">
                  <c:v>70.0</c:v>
                </c:pt>
                <c:pt idx="95">
                  <c:v>70.0</c:v>
                </c:pt>
                <c:pt idx="96">
                  <c:v>70.0</c:v>
                </c:pt>
                <c:pt idx="97">
                  <c:v>70.0</c:v>
                </c:pt>
                <c:pt idx="98">
                  <c:v>70.0</c:v>
                </c:pt>
                <c:pt idx="99">
                  <c:v>70.0</c:v>
                </c:pt>
                <c:pt idx="100">
                  <c:v>70.0</c:v>
                </c:pt>
                <c:pt idx="101">
                  <c:v>70.0</c:v>
                </c:pt>
                <c:pt idx="102">
                  <c:v>70.0</c:v>
                </c:pt>
                <c:pt idx="103">
                  <c:v>70.0</c:v>
                </c:pt>
                <c:pt idx="104">
                  <c:v>70.0</c:v>
                </c:pt>
                <c:pt idx="105">
                  <c:v>70.0</c:v>
                </c:pt>
                <c:pt idx="106">
                  <c:v>70.0</c:v>
                </c:pt>
                <c:pt idx="107">
                  <c:v>70.0</c:v>
                </c:pt>
                <c:pt idx="108">
                  <c:v>70.0</c:v>
                </c:pt>
                <c:pt idx="109">
                  <c:v>70.0</c:v>
                </c:pt>
                <c:pt idx="110">
                  <c:v>70.0</c:v>
                </c:pt>
                <c:pt idx="111">
                  <c:v>70.0</c:v>
                </c:pt>
                <c:pt idx="112">
                  <c:v>70.0</c:v>
                </c:pt>
                <c:pt idx="113">
                  <c:v>70.0</c:v>
                </c:pt>
                <c:pt idx="114">
                  <c:v>70.0</c:v>
                </c:pt>
                <c:pt idx="115">
                  <c:v>70.0</c:v>
                </c:pt>
                <c:pt idx="116">
                  <c:v>70.0</c:v>
                </c:pt>
                <c:pt idx="117">
                  <c:v>70.0</c:v>
                </c:pt>
                <c:pt idx="118">
                  <c:v>70.0</c:v>
                </c:pt>
                <c:pt idx="119">
                  <c:v>70.0</c:v>
                </c:pt>
                <c:pt idx="120">
                  <c:v>70.0</c:v>
                </c:pt>
                <c:pt idx="121">
                  <c:v>70.0</c:v>
                </c:pt>
                <c:pt idx="122">
                  <c:v>70.0</c:v>
                </c:pt>
                <c:pt idx="123">
                  <c:v>70.0</c:v>
                </c:pt>
                <c:pt idx="124">
                  <c:v>70.0</c:v>
                </c:pt>
                <c:pt idx="125">
                  <c:v>70.0</c:v>
                </c:pt>
                <c:pt idx="126">
                  <c:v>70.0</c:v>
                </c:pt>
                <c:pt idx="127">
                  <c:v>70.0</c:v>
                </c:pt>
                <c:pt idx="128">
                  <c:v>70.0</c:v>
                </c:pt>
                <c:pt idx="129">
                  <c:v>70.0</c:v>
                </c:pt>
                <c:pt idx="130">
                  <c:v>70.0</c:v>
                </c:pt>
                <c:pt idx="131">
                  <c:v>70.0</c:v>
                </c:pt>
                <c:pt idx="132">
                  <c:v>70.0</c:v>
                </c:pt>
                <c:pt idx="133">
                  <c:v>70.0</c:v>
                </c:pt>
                <c:pt idx="134">
                  <c:v>70.0</c:v>
                </c:pt>
                <c:pt idx="135">
                  <c:v>70.0</c:v>
                </c:pt>
                <c:pt idx="136">
                  <c:v>70.0</c:v>
                </c:pt>
                <c:pt idx="137">
                  <c:v>70.0</c:v>
                </c:pt>
                <c:pt idx="138">
                  <c:v>70.0</c:v>
                </c:pt>
                <c:pt idx="139">
                  <c:v>70.0</c:v>
                </c:pt>
                <c:pt idx="140">
                  <c:v>70.0</c:v>
                </c:pt>
                <c:pt idx="141">
                  <c:v>70.0</c:v>
                </c:pt>
                <c:pt idx="142">
                  <c:v>70.0</c:v>
                </c:pt>
                <c:pt idx="143">
                  <c:v>70.0</c:v>
                </c:pt>
                <c:pt idx="144">
                  <c:v>70.0</c:v>
                </c:pt>
                <c:pt idx="145">
                  <c:v>70.0</c:v>
                </c:pt>
                <c:pt idx="146">
                  <c:v>70.0</c:v>
                </c:pt>
                <c:pt idx="147">
                  <c:v>70.0</c:v>
                </c:pt>
                <c:pt idx="148">
                  <c:v>70.0</c:v>
                </c:pt>
                <c:pt idx="149">
                  <c:v>70.0</c:v>
                </c:pt>
                <c:pt idx="150">
                  <c:v>70.0</c:v>
                </c:pt>
                <c:pt idx="151">
                  <c:v>70.0</c:v>
                </c:pt>
                <c:pt idx="152">
                  <c:v>70.0</c:v>
                </c:pt>
                <c:pt idx="153">
                  <c:v>70.0</c:v>
                </c:pt>
                <c:pt idx="154">
                  <c:v>70.0</c:v>
                </c:pt>
                <c:pt idx="155">
                  <c:v>70.0</c:v>
                </c:pt>
                <c:pt idx="156">
                  <c:v>70.0</c:v>
                </c:pt>
                <c:pt idx="157">
                  <c:v>70.0</c:v>
                </c:pt>
                <c:pt idx="158">
                  <c:v>70.0</c:v>
                </c:pt>
                <c:pt idx="159">
                  <c:v>70.08319555619254</c:v>
                </c:pt>
                <c:pt idx="160">
                  <c:v>70.17652097234406</c:v>
                </c:pt>
                <c:pt idx="161">
                  <c:v>70.27074172883482</c:v>
                </c:pt>
                <c:pt idx="162">
                  <c:v>70.36667697704458</c:v>
                </c:pt>
                <c:pt idx="163">
                  <c:v>70.46351019020944</c:v>
                </c:pt>
                <c:pt idx="164">
                  <c:v>70.56289729036081</c:v>
                </c:pt>
                <c:pt idx="165">
                  <c:v>70.66318563278621</c:v>
                </c:pt>
                <c:pt idx="166">
                  <c:v>70.76435879957462</c:v>
                </c:pt>
                <c:pt idx="167">
                  <c:v>70.86727231299022</c:v>
                </c:pt>
                <c:pt idx="168">
                  <c:v>70.97108197046801</c:v>
                </c:pt>
                <c:pt idx="169">
                  <c:v>71.07661779291138</c:v>
                </c:pt>
                <c:pt idx="170">
                  <c:v>71.18306109776182</c:v>
                </c:pt>
                <c:pt idx="171">
                  <c:v>71.2903953738797</c:v>
                </c:pt>
                <c:pt idx="172">
                  <c:v>71.39947786820622</c:v>
                </c:pt>
                <c:pt idx="173">
                  <c:v>71.5094539219488</c:v>
                </c:pt>
                <c:pt idx="174">
                  <c:v>71.6203420615293</c:v>
                </c:pt>
                <c:pt idx="175">
                  <c:v>71.73212569617753</c:v>
                </c:pt>
                <c:pt idx="176">
                  <c:v>71.84482339310926</c:v>
                </c:pt>
                <c:pt idx="177">
                  <c:v>71.95926773139917</c:v>
                </c:pt>
                <c:pt idx="178">
                  <c:v>72.07377040306034</c:v>
                </c:pt>
                <c:pt idx="179">
                  <c:v>72.18919010260052</c:v>
                </c:pt>
                <c:pt idx="180">
                  <c:v>72.30551013448337</c:v>
                </c:pt>
                <c:pt idx="181">
                  <c:v>72.42274917172097</c:v>
                </c:pt>
                <c:pt idx="182">
                  <c:v>72.54089047551065</c:v>
                </c:pt>
                <c:pt idx="183">
                  <c:v>72.65995276254293</c:v>
                </c:pt>
                <c:pt idx="184">
                  <c:v>72.77907657764734</c:v>
                </c:pt>
                <c:pt idx="185">
                  <c:v>72.89912270220934</c:v>
                </c:pt>
                <c:pt idx="186">
                  <c:v>73.02008322838618</c:v>
                </c:pt>
                <c:pt idx="187">
                  <c:v>73.14110655291303</c:v>
                </c:pt>
                <c:pt idx="188">
                  <c:v>73.26389847912152</c:v>
                </c:pt>
                <c:pt idx="189">
                  <c:v>73.38591018249087</c:v>
                </c:pt>
                <c:pt idx="190">
                  <c:v>73.50884783813387</c:v>
                </c:pt>
                <c:pt idx="191">
                  <c:v>73.6326945045143</c:v>
                </c:pt>
                <c:pt idx="192">
                  <c:v>73.75662382198456</c:v>
                </c:pt>
                <c:pt idx="193">
                  <c:v>73.88146343087457</c:v>
                </c:pt>
                <c:pt idx="194">
                  <c:v>74.00638636622068</c:v>
                </c:pt>
                <c:pt idx="195">
                  <c:v>74.13138363924387</c:v>
                </c:pt>
                <c:pt idx="196">
                  <c:v>74.2572927984619</c:v>
                </c:pt>
                <c:pt idx="197">
                  <c:v>74.38328597145203</c:v>
                </c:pt>
                <c:pt idx="198">
                  <c:v>74.50934507465384</c:v>
                </c:pt>
                <c:pt idx="199">
                  <c:v>74.63633577761708</c:v>
                </c:pt>
                <c:pt idx="200">
                  <c:v>74.76339303897744</c:v>
                </c:pt>
                <c:pt idx="201">
                  <c:v>74.89053501368465</c:v>
                </c:pt>
                <c:pt idx="202">
                  <c:v>75.01775263023873</c:v>
                </c:pt>
                <c:pt idx="203">
                  <c:v>75.1450367693407</c:v>
                </c:pt>
                <c:pt idx="204">
                  <c:v>75.27240565763874</c:v>
                </c:pt>
                <c:pt idx="205">
                  <c:v>75.40069056282674</c:v>
                </c:pt>
                <c:pt idx="206">
                  <c:v>75.5282110489112</c:v>
                </c:pt>
                <c:pt idx="207">
                  <c:v>75.65664817986497</c:v>
                </c:pt>
                <c:pt idx="208">
                  <c:v>75.7851707600017</c:v>
                </c:pt>
                <c:pt idx="209">
                  <c:v>75.91290962045545</c:v>
                </c:pt>
                <c:pt idx="210">
                  <c:v>76.04158445036047</c:v>
                </c:pt>
                <c:pt idx="211">
                  <c:v>76.1694840999071</c:v>
                </c:pt>
                <c:pt idx="212">
                  <c:v>76.29745016404186</c:v>
                </c:pt>
                <c:pt idx="213">
                  <c:v>76.42550108533245</c:v>
                </c:pt>
                <c:pt idx="214">
                  <c:v>76.55361839731174</c:v>
                </c:pt>
                <c:pt idx="215">
                  <c:v>76.6818205903463</c:v>
                </c:pt>
                <c:pt idx="216">
                  <c:v>76.81008915017008</c:v>
                </c:pt>
                <c:pt idx="217">
                  <c:v>76.93844261494861</c:v>
                </c:pt>
                <c:pt idx="218">
                  <c:v>77.06600866644169</c:v>
                </c:pt>
                <c:pt idx="219">
                  <c:v>77.19365899470412</c:v>
                </c:pt>
                <c:pt idx="220">
                  <c:v>77.32138431272853</c:v>
                </c:pt>
                <c:pt idx="221">
                  <c:v>77.44832055192111</c:v>
                </c:pt>
                <c:pt idx="222">
                  <c:v>77.57534045133833</c:v>
                </c:pt>
                <c:pt idx="223">
                  <c:v>77.70242533065397</c:v>
                </c:pt>
                <c:pt idx="224">
                  <c:v>77.82873818145781</c:v>
                </c:pt>
                <c:pt idx="225">
                  <c:v>77.95511533679381</c:v>
                </c:pt>
                <c:pt idx="226">
                  <c:v>78.08157554714135</c:v>
                </c:pt>
                <c:pt idx="227">
                  <c:v>78.20724334859451</c:v>
                </c:pt>
                <c:pt idx="228">
                  <c:v>78.33299357625577</c:v>
                </c:pt>
                <c:pt idx="229">
                  <c:v>78.45881683742431</c:v>
                </c:pt>
                <c:pt idx="230">
                  <c:v>78.58384602507927</c:v>
                </c:pt>
                <c:pt idx="231">
                  <c:v>78.70809902725855</c:v>
                </c:pt>
                <c:pt idx="232">
                  <c:v>78.8324142973636</c:v>
                </c:pt>
                <c:pt idx="233">
                  <c:v>78.95681074688629</c:v>
                </c:pt>
                <c:pt idx="234">
                  <c:v>79.0804104695383</c:v>
                </c:pt>
                <c:pt idx="235">
                  <c:v>79.20323144401073</c:v>
                </c:pt>
                <c:pt idx="236">
                  <c:v>79.32611333742767</c:v>
                </c:pt>
                <c:pt idx="237">
                  <c:v>79.44821520095248</c:v>
                </c:pt>
                <c:pt idx="238" formatCode="0.0000">
                  <c:v>79.57038683756019</c:v>
                </c:pt>
                <c:pt idx="239" formatCode="0.0000">
                  <c:v>79.69175810582034</c:v>
                </c:pt>
                <c:pt idx="240" formatCode="0.0000">
                  <c:v>79.81320802334694</c:v>
                </c:pt>
                <c:pt idx="241" formatCode="0.0000">
                  <c:v>79.93385624672307</c:v>
                </c:pt>
                <c:pt idx="242" formatCode="0.0000">
                  <c:v>80.05372090895624</c:v>
                </c:pt>
                <c:pt idx="243" formatCode="0.0000">
                  <c:v>80.17364380566629</c:v>
                </c:pt>
                <c:pt idx="244" formatCode="0.0000">
                  <c:v>80.29278185869677</c:v>
                </c:pt>
                <c:pt idx="245" formatCode="0.0000">
                  <c:v>80.41197747289815</c:v>
                </c:pt>
                <c:pt idx="246" formatCode="0.0000">
                  <c:v>80.52952407654992</c:v>
                </c:pt>
                <c:pt idx="247" formatCode="0.0000">
                  <c:v>80.64799975094507</c:v>
                </c:pt>
                <c:pt idx="248" formatCode="0.0000">
                  <c:v>80.7648052307881</c:v>
                </c:pt>
                <c:pt idx="249" formatCode="0.0000">
                  <c:v>80.88168554360426</c:v>
                </c:pt>
                <c:pt idx="250" formatCode="0.0000">
                  <c:v>80.99775722142894</c:v>
                </c:pt>
                <c:pt idx="251" formatCode="0.0000">
                  <c:v>81.11303858661128</c:v>
                </c:pt>
                <c:pt idx="252" formatCode="0.0000">
                  <c:v>81.22750934056253</c:v>
                </c:pt>
                <c:pt idx="253" formatCode="0.0000">
                  <c:v>81.34205301212927</c:v>
                </c:pt>
                <c:pt idx="254" formatCode="0.0000">
                  <c:v>81.45578474851627</c:v>
                </c:pt>
                <c:pt idx="255" formatCode="0.0000">
                  <c:v>81.56958877041876</c:v>
                </c:pt>
                <c:pt idx="256" formatCode="0.0000">
                  <c:v>81.68172310419075</c:v>
                </c:pt>
                <c:pt idx="257" formatCode="0.0000">
                  <c:v>81.79390900943006</c:v>
                </c:pt>
                <c:pt idx="258" formatCode="0.0000">
                  <c:v>81.90529912935566</c:v>
                </c:pt>
                <c:pt idx="259" formatCode="0.0000">
                  <c:v>82.01587302744181</c:v>
                </c:pt>
                <c:pt idx="260" formatCode="0.0000">
                  <c:v>82.12651665142995</c:v>
                </c:pt>
                <c:pt idx="261" formatCode="0.0000">
                  <c:v>82.23634273066014</c:v>
                </c:pt>
                <c:pt idx="262" formatCode="0.0000">
                  <c:v>82.34450170249139</c:v>
                </c:pt>
                <c:pt idx="263" formatCode="0.0000">
                  <c:v>82.4527089291193</c:v>
                </c:pt>
                <c:pt idx="264" formatCode="0.0000">
                  <c:v>82.56098396289202</c:v>
                </c:pt>
                <c:pt idx="265" formatCode="0.0000">
                  <c:v>82.66757887600019</c:v>
                </c:pt>
                <c:pt idx="266" formatCode="0.0000">
                  <c:v>82.77422071264236</c:v>
                </c:pt>
                <c:pt idx="267" formatCode="0.0000">
                  <c:v>82.8800593494669</c:v>
                </c:pt>
                <c:pt idx="268" formatCode="0.0000">
                  <c:v>82.98507418399093</c:v>
                </c:pt>
                <c:pt idx="269" formatCode="0.0000">
                  <c:v>83.0892838803673</c:v>
                </c:pt>
                <c:pt idx="270" formatCode="0.0000">
                  <c:v>83.19266780108801</c:v>
                </c:pt>
                <c:pt idx="271" formatCode="0.0000">
                  <c:v>83.2961156789743</c:v>
                </c:pt>
                <c:pt idx="272" formatCode="0.0000">
                  <c:v>83.3978651001459</c:v>
                </c:pt>
                <c:pt idx="273" formatCode="0.0000">
                  <c:v>83.49967719141381</c:v>
                </c:pt>
                <c:pt idx="274" formatCode="0.0000">
                  <c:v>83.60067008947788</c:v>
                </c:pt>
                <c:pt idx="275" formatCode="0.0000">
                  <c:v>83.70083293192249</c:v>
                </c:pt>
                <c:pt idx="276" formatCode="0.0000">
                  <c:v>83.80018450116172</c:v>
                </c:pt>
                <c:pt idx="277" formatCode="0.0000">
                  <c:v>83.89957703266347</c:v>
                </c:pt>
                <c:pt idx="278" formatCode="0.0000">
                  <c:v>83.99728368702304</c:v>
                </c:pt>
                <c:pt idx="279" formatCode="0.0000">
                  <c:v>84.09502998381707</c:v>
                </c:pt>
                <c:pt idx="280" formatCode="0.0000">
                  <c:v>84.19196177922502</c:v>
                </c:pt>
                <c:pt idx="281" formatCode="0.0000">
                  <c:v>84.28806818693172</c:v>
                </c:pt>
                <c:pt idx="282" formatCode="0.0000">
                  <c:v>84.38333828992367</c:v>
                </c:pt>
                <c:pt idx="283" formatCode="0.0000">
                  <c:v>84.47779098042885</c:v>
                </c:pt>
                <c:pt idx="284" formatCode="0.0000">
                  <c:v>84.57140539533648</c:v>
                </c:pt>
                <c:pt idx="285" formatCode="0.0000">
                  <c:v>84.66507605457437</c:v>
                </c:pt>
                <c:pt idx="286" formatCode="0.0000">
                  <c:v>84.75703119565192</c:v>
                </c:pt>
                <c:pt idx="287" formatCode="0.0000">
                  <c:v>84.8490412915181</c:v>
                </c:pt>
                <c:pt idx="288" formatCode="0.0000">
                  <c:v>84.94020982303317</c:v>
                </c:pt>
                <c:pt idx="289" formatCode="0.0000">
                  <c:v>85.03055576947276</c:v>
                </c:pt>
                <c:pt idx="290" formatCode="0.0000">
                  <c:v>85.12006817756219</c:v>
                </c:pt>
                <c:pt idx="291" formatCode="0.0000">
                  <c:v>85.20873606662454</c:v>
                </c:pt>
                <c:pt idx="292" formatCode="0.0000">
                  <c:v>85.29657845703851</c:v>
                </c:pt>
                <c:pt idx="293" formatCode="0.0000">
                  <c:v>85.38445256514978</c:v>
                </c:pt>
                <c:pt idx="294" formatCode="0.0000">
                  <c:v>85.47149988383489</c:v>
                </c:pt>
                <c:pt idx="295" formatCode="0.0000">
                  <c:v>85.5568205392709</c:v>
                </c:pt>
                <c:pt idx="296" formatCode="0.0000">
                  <c:v>85.6421909941104</c:v>
                </c:pt>
                <c:pt idx="297" formatCode="0.0000">
                  <c:v>85.72671167512813</c:v>
                </c:pt>
                <c:pt idx="298" formatCode="0.0000">
                  <c:v>85.81040168006713</c:v>
                </c:pt>
                <c:pt idx="299" formatCode="0.0000">
                  <c:v>85.89413015801445</c:v>
                </c:pt>
                <c:pt idx="300" formatCode="0.0000">
                  <c:v>85.97612607386833</c:v>
                </c:pt>
                <c:pt idx="301" formatCode="0.0000">
                  <c:v>86.0581692116906</c:v>
                </c:pt>
                <c:pt idx="302" formatCode="0.0000">
                  <c:v>86.13847716774821</c:v>
                </c:pt>
                <c:pt idx="303" formatCode="0.0000">
                  <c:v>86.21883105334818</c:v>
                </c:pt>
                <c:pt idx="304" formatCode="0.0000">
                  <c:v>86.29832892983512</c:v>
                </c:pt>
                <c:pt idx="305" formatCode="0.0000">
                  <c:v>86.37257938739197</c:v>
                </c:pt>
                <c:pt idx="306" formatCode="0.0000">
                  <c:v>86.44155639001013</c:v>
                </c:pt>
                <c:pt idx="307" formatCode="0.0000">
                  <c:v>86.50968809697125</c:v>
                </c:pt>
                <c:pt idx="308" formatCode="0.0000">
                  <c:v>86.57696344343517</c:v>
                </c:pt>
                <c:pt idx="309" formatCode="0.0000">
                  <c:v>86.64337134787345</c:v>
                </c:pt>
                <c:pt idx="310" formatCode="0.0000">
                  <c:v>86.7098147830059</c:v>
                </c:pt>
                <c:pt idx="311" formatCode="0.0000">
                  <c:v>86.77538946411375</c:v>
                </c:pt>
                <c:pt idx="312" formatCode="0.0000">
                  <c:v>86.84011463192484</c:v>
                </c:pt>
                <c:pt idx="313" formatCode="0.0000">
                  <c:v>86.90485380792027</c:v>
                </c:pt>
                <c:pt idx="314" formatCode="0.0000">
                  <c:v>86.96874217427829</c:v>
                </c:pt>
                <c:pt idx="315" formatCode="0.0000">
                  <c:v>87.03175851145613</c:v>
                </c:pt>
                <c:pt idx="316" formatCode="0.0000">
                  <c:v>87.09480779427</c:v>
                </c:pt>
                <c:pt idx="317" formatCode="0.0000">
                  <c:v>87.15699387010744</c:v>
                </c:pt>
                <c:pt idx="318" formatCode="0.0000">
                  <c:v>87.21830562406313</c:v>
                </c:pt>
                <c:pt idx="319" formatCode="0.0000">
                  <c:v>87.2787623482693</c:v>
                </c:pt>
                <c:pt idx="320" formatCode="0.0000">
                  <c:v>87.33922979582082</c:v>
                </c:pt>
                <c:pt idx="321" formatCode="0.0000">
                  <c:v>87.39884091625208</c:v>
                </c:pt>
                <c:pt idx="322" formatCode="0.0000">
                  <c:v>87.4584621015569</c:v>
                </c:pt>
                <c:pt idx="323" formatCode="0.0000">
                  <c:v>87.5172256621646</c:v>
                </c:pt>
                <c:pt idx="324" formatCode="0.0000">
                  <c:v>87.57511031754761</c:v>
                </c:pt>
                <c:pt idx="325" formatCode="0.0000">
                  <c:v>87.63213539836575</c:v>
                </c:pt>
                <c:pt idx="326" formatCode="0.0000">
                  <c:v>87.68917873756071</c:v>
                </c:pt>
                <c:pt idx="327" formatCode="0.0000">
                  <c:v>87.74623017064347</c:v>
                </c:pt>
                <c:pt idx="328" formatCode="0.0000">
                  <c:v>87.80153079190917</c:v>
                </c:pt>
                <c:pt idx="329" formatCode="0.0000">
                  <c:v>87.85683819753612</c:v>
                </c:pt>
                <c:pt idx="330" formatCode="0.0000">
                  <c:v>87.91128245665645</c:v>
                </c:pt>
                <c:pt idx="331" formatCode="0.0000">
                  <c:v>87.96573284290234</c:v>
                </c:pt>
                <c:pt idx="332" formatCode="0.0000">
                  <c:v>88.01931878382864</c:v>
                </c:pt>
                <c:pt idx="333" formatCode="0.0000">
                  <c:v>88.07291019485091</c:v>
                </c:pt>
                <c:pt idx="334" formatCode="0.0000">
                  <c:v>88.12474428968967</c:v>
                </c:pt>
                <c:pt idx="335" formatCode="0.0000">
                  <c:v>88.17659273039597</c:v>
                </c:pt>
                <c:pt idx="336" formatCode="0.0000">
                  <c:v>88.22844533022945</c:v>
                </c:pt>
                <c:pt idx="337" formatCode="0.0000">
                  <c:v>88.27942991053524</c:v>
                </c:pt>
                <c:pt idx="338" formatCode="0.0000">
                  <c:v>88.32952511774812</c:v>
                </c:pt>
                <c:pt idx="339" formatCode="0.0000">
                  <c:v>88.37964355556234</c:v>
                </c:pt>
                <c:pt idx="340" formatCode="0.0000">
                  <c:v>88.42887131219931</c:v>
                </c:pt>
                <c:pt idx="341" formatCode="0.0000">
                  <c:v>88.47812165147334</c:v>
                </c:pt>
                <c:pt idx="342" formatCode="0.0000">
                  <c:v>88.52648000169182</c:v>
                </c:pt>
                <c:pt idx="343" formatCode="0.0000">
                  <c:v>88.57396578056223</c:v>
                </c:pt>
                <c:pt idx="344" formatCode="0.0000">
                  <c:v>88.62146264487573</c:v>
                </c:pt>
                <c:pt idx="345" formatCode="0.0000">
                  <c:v>88.66806523278882</c:v>
                </c:pt>
                <c:pt idx="346" formatCode="0.0000">
                  <c:v>88.71468845635564</c:v>
                </c:pt>
                <c:pt idx="347" formatCode="0.0000">
                  <c:v>88.76041609626186</c:v>
                </c:pt>
                <c:pt idx="348" formatCode="0.0000">
                  <c:v>88.80616372303342</c:v>
                </c:pt>
                <c:pt idx="349" formatCode="0.0000">
                  <c:v>88.85101445909015</c:v>
                </c:pt>
                <c:pt idx="350" formatCode="0.0000">
                  <c:v>88.89498774521493</c:v>
                </c:pt>
                <c:pt idx="351" formatCode="0.0000">
                  <c:v>88.93895929564013</c:v>
                </c:pt>
                <c:pt idx="352" formatCode="0.0000">
                  <c:v>88.98205209484805</c:v>
                </c:pt>
                <c:pt idx="353" formatCode="0.0000">
                  <c:v>89.02515271907463</c:v>
                </c:pt>
                <c:pt idx="354" formatCode="0.0000">
                  <c:v>89.06735286004162</c:v>
                </c:pt>
                <c:pt idx="355" formatCode="0.0000">
                  <c:v>89.1095703892178</c:v>
                </c:pt>
                <c:pt idx="356" formatCode="0.0000">
                  <c:v>89.15088612890432</c:v>
                </c:pt>
                <c:pt idx="357" formatCode="0.0000">
                  <c:v>89.1922186069815</c:v>
                </c:pt>
                <c:pt idx="358" formatCode="0.0000">
                  <c:v>89.23264798954498</c:v>
                </c:pt>
                <c:pt idx="359" formatCode="0.0000">
                  <c:v>89.27309346047454</c:v>
                </c:pt>
                <c:pt idx="360" formatCode="0.0000">
                  <c:v>89.31264475235282</c:v>
                </c:pt>
                <c:pt idx="361" formatCode="0.0000">
                  <c:v>89.35219103780562</c:v>
                </c:pt>
                <c:pt idx="362" formatCode="0.0000">
                  <c:v>89.39085206242089</c:v>
                </c:pt>
                <c:pt idx="363" formatCode="0.0000">
                  <c:v>89.42950742708355</c:v>
                </c:pt>
                <c:pt idx="364" formatCode="0.0000">
                  <c:v>89.46727622838717</c:v>
                </c:pt>
                <c:pt idx="365" formatCode="0.0000">
                  <c:v>89.50413703869873</c:v>
                </c:pt>
                <c:pt idx="366" formatCode="0.0000">
                  <c:v>89.54191333836044</c:v>
                </c:pt>
                <c:pt idx="367" formatCode="0.0000">
                  <c:v>89.57787866421482</c:v>
                </c:pt>
                <c:pt idx="368" formatCode="0.0000">
                  <c:v>89.61475948044947</c:v>
                </c:pt>
                <c:pt idx="369" formatCode="0.0000">
                  <c:v>89.64983759353828</c:v>
                </c:pt>
                <c:pt idx="370" formatCode="0.0000">
                  <c:v>89.68581074276307</c:v>
                </c:pt>
                <c:pt idx="371" formatCode="0.0000">
                  <c:v>89.71998946032755</c:v>
                </c:pt>
                <c:pt idx="372" formatCode="0.0000">
                  <c:v>89.75506321340993</c:v>
                </c:pt>
                <c:pt idx="373" formatCode="0.0000">
                  <c:v>89.78924486515037</c:v>
                </c:pt>
                <c:pt idx="374" formatCode="0.0000">
                  <c:v>89.82251298049886</c:v>
                </c:pt>
                <c:pt idx="375" formatCode="0.0000">
                  <c:v>89.85579197659962</c:v>
                </c:pt>
                <c:pt idx="376" formatCode="0.0000">
                  <c:v>89.88906139580882</c:v>
                </c:pt>
                <c:pt idx="377" formatCode="0.0000">
                  <c:v>89.9214361062637</c:v>
                </c:pt>
                <c:pt idx="378" formatCode="0.0000">
                  <c:v>89.95381081671857</c:v>
                </c:pt>
                <c:pt idx="379" formatCode="0.0000">
                  <c:v>89.98526905650251</c:v>
                </c:pt>
                <c:pt idx="380" formatCode="0.0000">
                  <c:v>90.01673687317798</c:v>
                </c:pt>
                <c:pt idx="381" formatCode="0.0000">
                  <c:v>90.04819380910117</c:v>
                </c:pt>
                <c:pt idx="382" formatCode="0.0000">
                  <c:v>90.07875310199108</c:v>
                </c:pt>
                <c:pt idx="383" formatCode="0.0000">
                  <c:v>90.10839331679762</c:v>
                </c:pt>
                <c:pt idx="384" formatCode="0.0000">
                  <c:v>90.13894967551155</c:v>
                </c:pt>
                <c:pt idx="385" formatCode="0.0000">
                  <c:v>90.16767810703519</c:v>
                </c:pt>
                <c:pt idx="386" formatCode="0.0000">
                  <c:v>90.19732268184816</c:v>
                </c:pt>
                <c:pt idx="387" formatCode="0.0000">
                  <c:v>90.22605645068147</c:v>
                </c:pt>
                <c:pt idx="388" formatCode="0.0000">
                  <c:v>90.25477738477413</c:v>
                </c:pt>
                <c:pt idx="389" formatCode="0.0000">
                  <c:v>90.28259643563349</c:v>
                </c:pt>
                <c:pt idx="390" formatCode="0.0000">
                  <c:v>90.31040200069752</c:v>
                </c:pt>
                <c:pt idx="391" formatCode="0.0000">
                  <c:v>90.33730437753435</c:v>
                </c:pt>
                <c:pt idx="392" formatCode="0.0000">
                  <c:v>90.3641926177271</c:v>
                </c:pt>
                <c:pt idx="393" formatCode="0.0000">
                  <c:v>90.39108717016336</c:v>
                </c:pt>
                <c:pt idx="394" formatCode="0.0000">
                  <c:v>90.41796758719175</c:v>
                </c:pt>
                <c:pt idx="395" formatCode="0.0000">
                  <c:v>90.443942857575</c:v>
                </c:pt>
                <c:pt idx="396" formatCode="0.0000">
                  <c:v>90.46900177966907</c:v>
                </c:pt>
                <c:pt idx="397" formatCode="0.0000">
                  <c:v>90.4949573741892</c:v>
                </c:pt>
                <c:pt idx="398" formatCode="0.0000">
                  <c:v>90.52000618979164</c:v>
                </c:pt>
                <c:pt idx="399" formatCode="0.0000">
                  <c:v>90.54412680811475</c:v>
                </c:pt>
                <c:pt idx="400" formatCode="0.0000">
                  <c:v>90.5691648651407</c:v>
                </c:pt>
                <c:pt idx="401" formatCode="0.0000">
                  <c:v>90.5932740746567</c:v>
                </c:pt>
                <c:pt idx="402" formatCode="0.0000">
                  <c:v>90.61647389382502</c:v>
                </c:pt>
                <c:pt idx="403" formatCode="0.0000">
                  <c:v>90.64057104265503</c:v>
                </c:pt>
                <c:pt idx="404" formatCode="0.0000">
                  <c:v>90.66375814719818</c:v>
                </c:pt>
                <c:pt idx="405" formatCode="0.0000">
                  <c:v>90.68602401322764</c:v>
                </c:pt>
                <c:pt idx="406" formatCode="0.0000">
                  <c:v>90.70918753805165</c:v>
                </c:pt>
                <c:pt idx="407" formatCode="0.0000">
                  <c:v>90.73143938538918</c:v>
                </c:pt>
                <c:pt idx="408" formatCode="0.0000">
                  <c:v>90.75367385008029</c:v>
                </c:pt>
                <c:pt idx="409" formatCode="0.0000">
                  <c:v>90.77499533105488</c:v>
                </c:pt>
                <c:pt idx="410" formatCode="0.0000">
                  <c:v>90.79629877977053</c:v>
                </c:pt>
                <c:pt idx="411" formatCode="0.0000">
                  <c:v>90.817604611944</c:v>
                </c:pt>
                <c:pt idx="412" formatCode="0.0000">
                  <c:v>90.83797541478097</c:v>
                </c:pt>
                <c:pt idx="413" formatCode="0.0000">
                  <c:v>90.85926527211091</c:v>
                </c:pt>
                <c:pt idx="414" formatCode="0.0000">
                  <c:v>90.87962965278738</c:v>
                </c:pt>
                <c:pt idx="415" formatCode="0.0000">
                  <c:v>90.89905737803578</c:v>
                </c:pt>
                <c:pt idx="416" formatCode="0.0000">
                  <c:v>90.91940447980195</c:v>
                </c:pt>
                <c:pt idx="417" formatCode="0.0000">
                  <c:v>90.93881427693958</c:v>
                </c:pt>
                <c:pt idx="418" formatCode="0.0000">
                  <c:v>90.95822514419688</c:v>
                </c:pt>
                <c:pt idx="419" formatCode="0.0000">
                  <c:v>90.97669740574634</c:v>
                </c:pt>
                <c:pt idx="420" formatCode="0.0000">
                  <c:v>90.99517008244618</c:v>
                </c:pt>
                <c:pt idx="421" formatCode="0.0000">
                  <c:v>91.01362278608471</c:v>
                </c:pt>
                <c:pt idx="422" formatCode="0.0000">
                  <c:v>91.03207590178317</c:v>
                </c:pt>
                <c:pt idx="423" formatCode="0.0000">
                  <c:v>91.05051923620834</c:v>
                </c:pt>
                <c:pt idx="424" formatCode="0.0000">
                  <c:v>91.0680216906637</c:v>
                </c:pt>
                <c:pt idx="425" formatCode="0.0000">
                  <c:v>91.08552390045844</c:v>
                </c:pt>
                <c:pt idx="426" formatCode="0.0000">
                  <c:v>91.10300549314214</c:v>
                </c:pt>
                <c:pt idx="427" formatCode="0.0000">
                  <c:v>91.11956494830027</c:v>
                </c:pt>
                <c:pt idx="428" formatCode="0.0000">
                  <c:v>91.13702535327288</c:v>
                </c:pt>
                <c:pt idx="429" formatCode="0.0000">
                  <c:v>91.1535629653386</c:v>
                </c:pt>
                <c:pt idx="430" formatCode="0.0000">
                  <c:v>91.16915644762055</c:v>
                </c:pt>
                <c:pt idx="431" formatCode="0.0000">
                  <c:v>91.18567156450891</c:v>
                </c:pt>
                <c:pt idx="432" formatCode="0.0000">
                  <c:v>91.20125207637951</c:v>
                </c:pt>
                <c:pt idx="433" formatCode="0.0000">
                  <c:v>91.2168106794341</c:v>
                </c:pt>
                <c:pt idx="434" formatCode="0.0000">
                  <c:v>91.23236771810306</c:v>
                </c:pt>
                <c:pt idx="435" formatCode="0.0000">
                  <c:v>91.24790285166456</c:v>
                </c:pt>
                <c:pt idx="436" formatCode="0.0000">
                  <c:v>91.26251159359346</c:v>
                </c:pt>
                <c:pt idx="437" formatCode="0.0000">
                  <c:v>91.2780229317224</c:v>
                </c:pt>
                <c:pt idx="438" formatCode="0.0000">
                  <c:v>91.29260722242535</c:v>
                </c:pt>
                <c:pt idx="439" formatCode="0.0000">
                  <c:v>91.30717912351544</c:v>
                </c:pt>
                <c:pt idx="440" formatCode="0.0000">
                  <c:v>91.32080234959442</c:v>
                </c:pt>
                <c:pt idx="441" formatCode="0.0000">
                  <c:v>91.33534914737365</c:v>
                </c:pt>
                <c:pt idx="442" formatCode="0.0000">
                  <c:v>91.3489466221775</c:v>
                </c:pt>
                <c:pt idx="443" formatCode="0.0000">
                  <c:v>91.36254121111942</c:v>
                </c:pt>
                <c:pt idx="444" formatCode="0.0000">
                  <c:v>91.37611260870868</c:v>
                </c:pt>
                <c:pt idx="445" formatCode="0.0000">
                  <c:v>91.38875335880709</c:v>
                </c:pt>
                <c:pt idx="446" formatCode="0.0000">
                  <c:v>91.40229835324238</c:v>
                </c:pt>
                <c:pt idx="447" formatCode="0.0000">
                  <c:v>91.41491204398131</c:v>
                </c:pt>
                <c:pt idx="448" formatCode="0.0000">
                  <c:v>91.4275120409376</c:v>
                </c:pt>
                <c:pt idx="449" formatCode="0.0000">
                  <c:v>91.44008820516994</c:v>
                </c:pt>
                <c:pt idx="450" formatCode="0.0000">
                  <c:v>91.45266081672433</c:v>
                </c:pt>
                <c:pt idx="451" formatCode="0.0000">
                  <c:v>91.46427988642743</c:v>
                </c:pt>
                <c:pt idx="452" formatCode="0.0000">
                  <c:v>91.47682478653744</c:v>
                </c:pt>
                <c:pt idx="453" formatCode="0.0000">
                  <c:v>91.48841549724393</c:v>
                </c:pt>
                <c:pt idx="454" formatCode="0.0000">
                  <c:v>91.5000019944313</c:v>
                </c:pt>
                <c:pt idx="455" formatCode="0.0000">
                  <c:v>91.51156402020177</c:v>
                </c:pt>
                <c:pt idx="456" formatCode="0.0000">
                  <c:v>91.52312182792043</c:v>
                </c:pt>
                <c:pt idx="457" formatCode="0.0000">
                  <c:v>91.53373362026904</c:v>
                </c:pt>
                <c:pt idx="458" formatCode="0.0000">
                  <c:v>91.54525229156288</c:v>
                </c:pt>
                <c:pt idx="459" formatCode="0.0000">
                  <c:v>91.55583441641849</c:v>
                </c:pt>
                <c:pt idx="460" formatCode="0.0000">
                  <c:v>91.56639142941297</c:v>
                </c:pt>
                <c:pt idx="461" formatCode="0.0000">
                  <c:v>91.57694356073314</c:v>
                </c:pt>
                <c:pt idx="462" formatCode="0.0000">
                  <c:v>91.58747058493088</c:v>
                </c:pt>
                <c:pt idx="463" formatCode="0.0000">
                  <c:v>91.5970590972674</c:v>
                </c:pt>
                <c:pt idx="464" formatCode="0.0000">
                  <c:v>91.60755580672894</c:v>
                </c:pt>
                <c:pt idx="465" formatCode="0.0000">
                  <c:v>91.6171133475057</c:v>
                </c:pt>
                <c:pt idx="466" formatCode="0.0000">
                  <c:v>91.62758984171767</c:v>
                </c:pt>
                <c:pt idx="467" formatCode="0.0000">
                  <c:v>91.63710631144808</c:v>
                </c:pt>
                <c:pt idx="468" formatCode="0.0000">
                  <c:v>91.6466172306278</c:v>
                </c:pt>
                <c:pt idx="469" formatCode="0.0000">
                  <c:v>91.65516682630688</c:v>
                </c:pt>
                <c:pt idx="470" formatCode="0.0000">
                  <c:v>91.66464612184194</c:v>
                </c:pt>
                <c:pt idx="471" formatCode="0.0000">
                  <c:v>91.67409968031796</c:v>
                </c:pt>
                <c:pt idx="472" formatCode="0.0000">
                  <c:v>91.68261111883268</c:v>
                </c:pt>
                <c:pt idx="473" formatCode="0.0000">
                  <c:v>91.69203305871177</c:v>
                </c:pt>
                <c:pt idx="474" formatCode="0.0000">
                  <c:v>91.70051222159998</c:v>
                </c:pt>
                <c:pt idx="475" formatCode="0.0000">
                  <c:v>91.70897508236605</c:v>
                </c:pt>
                <c:pt idx="476" formatCode="0.0000">
                  <c:v>91.717411566762</c:v>
                </c:pt>
                <c:pt idx="477" formatCode="0.0000">
                  <c:v>91.72584182585909</c:v>
                </c:pt>
                <c:pt idx="478" formatCode="0.0000">
                  <c:v>91.73424571373684</c:v>
                </c:pt>
                <c:pt idx="479" formatCode="0.0000">
                  <c:v>91.7417045297588</c:v>
                </c:pt>
                <c:pt idx="480" formatCode="0.0000">
                  <c:v>91.75007549517887</c:v>
                </c:pt>
                <c:pt idx="481" formatCode="0.0000">
                  <c:v>91.75750073150757</c:v>
                </c:pt>
                <c:pt idx="482" formatCode="0.0000">
                  <c:v>91.76583877447003</c:v>
                </c:pt>
                <c:pt idx="483" formatCode="0.0000">
                  <c:v>91.77323043110541</c:v>
                </c:pt>
                <c:pt idx="484" formatCode="0.0000">
                  <c:v>91.78060513353377</c:v>
                </c:pt>
                <c:pt idx="485" formatCode="0.0000">
                  <c:v>91.78795283120057</c:v>
                </c:pt>
                <c:pt idx="486" formatCode="0.0000">
                  <c:v>91.79529362789318</c:v>
                </c:pt>
                <c:pt idx="487" formatCode="0.0000">
                  <c:v>91.80260742518105</c:v>
                </c:pt>
                <c:pt idx="488" formatCode="0.0000">
                  <c:v>91.80991431613796</c:v>
                </c:pt>
                <c:pt idx="489" formatCode="0.0000">
                  <c:v>91.81719421304687</c:v>
                </c:pt>
                <c:pt idx="490" formatCode="0.0000">
                  <c:v>91.82352477091008</c:v>
                </c:pt>
                <c:pt idx="491" formatCode="0.0000">
                  <c:v>91.83077044150063</c:v>
                </c:pt>
                <c:pt idx="492" formatCode="0.0000">
                  <c:v>91.83706611560379</c:v>
                </c:pt>
                <c:pt idx="493" formatCode="0.0000">
                  <c:v>91.84334418341503</c:v>
                </c:pt>
                <c:pt idx="494" formatCode="0.0000">
                  <c:v>91.85053835021912</c:v>
                </c:pt>
                <c:pt idx="495" formatCode="0.0000">
                  <c:v>91.8567815342703</c:v>
                </c:pt>
                <c:pt idx="496" formatCode="0.0000">
                  <c:v>91.86299709145243</c:v>
                </c:pt>
                <c:pt idx="497" formatCode="0.0000">
                  <c:v>91.86920506570113</c:v>
                </c:pt>
                <c:pt idx="498" formatCode="0.0000">
                  <c:v>91.8753854186436</c:v>
                </c:pt>
                <c:pt idx="499" formatCode="0.0000">
                  <c:v>91.88155818308984</c:v>
                </c:pt>
                <c:pt idx="500" formatCode="0.0000">
                  <c:v>91.88770333179264</c:v>
                </c:pt>
                <c:pt idx="501" formatCode="0.0000">
                  <c:v>91.89384088643639</c:v>
                </c:pt>
                <c:pt idx="502" formatCode="0.0000">
                  <c:v>91.89901449543596</c:v>
                </c:pt>
                <c:pt idx="503" formatCode="0.0000">
                  <c:v>91.90510651044912</c:v>
                </c:pt>
                <c:pt idx="504" formatCode="0.0000">
                  <c:v>91.91024393162192</c:v>
                </c:pt>
                <c:pt idx="505" formatCode="0.0000">
                  <c:v>91.91630041645598</c:v>
                </c:pt>
                <c:pt idx="506" formatCode="0.0000">
                  <c:v>91.92140164980197</c:v>
                </c:pt>
                <c:pt idx="507" formatCode="0.0000">
                  <c:v>91.92742260445694</c:v>
                </c:pt>
                <c:pt idx="508" formatCode="0.0000">
                  <c:v>91.93248764997613</c:v>
                </c:pt>
                <c:pt idx="509" formatCode="0.0000">
                  <c:v>91.93752445321473</c:v>
                </c:pt>
                <c:pt idx="510" formatCode="0.0000">
                  <c:v>91.94350193214444</c:v>
                </c:pt>
                <c:pt idx="511" formatCode="0.0000">
                  <c:v>91.94851253146</c:v>
                </c:pt>
                <c:pt idx="512" formatCode="0.0000">
                  <c:v>91.95349489704523</c:v>
                </c:pt>
                <c:pt idx="513" formatCode="0.0000">
                  <c:v>91.9584689824916</c:v>
                </c:pt>
                <c:pt idx="514" formatCode="0.0000">
                  <c:v>91.96341483997643</c:v>
                </c:pt>
                <c:pt idx="515" formatCode="0.0000">
                  <c:v>91.96835241155354</c:v>
                </c:pt>
                <c:pt idx="516" formatCode="0.0000">
                  <c:v>91.97326176093793</c:v>
                </c:pt>
                <c:pt idx="517" formatCode="0.0000">
                  <c:v>91.97816281864583</c:v>
                </c:pt>
                <c:pt idx="518" formatCode="0.0000">
                  <c:v>91.98209406266666</c:v>
                </c:pt>
                <c:pt idx="519" formatCode="0.0000">
                  <c:v>91.98694832251886</c:v>
                </c:pt>
                <c:pt idx="520" formatCode="0.0000">
                  <c:v>91.9917942819382</c:v>
                </c:pt>
                <c:pt idx="521" formatCode="0.0000">
                  <c:v>91.99661203369001</c:v>
                </c:pt>
                <c:pt idx="522" formatCode="0.0000">
                  <c:v>92.0004686199662</c:v>
                </c:pt>
                <c:pt idx="523" formatCode="0.0000">
                  <c:v>92.00524953767817</c:v>
                </c:pt>
                <c:pt idx="524" formatCode="0.0000">
                  <c:v>92.0090686320608</c:v>
                </c:pt>
                <c:pt idx="525" formatCode="0.0000">
                  <c:v>92.01381271573293</c:v>
                </c:pt>
                <c:pt idx="526" formatCode="0.0000">
                  <c:v>92.01759431822202</c:v>
                </c:pt>
                <c:pt idx="527" formatCode="0.0000">
                  <c:v>92.02231149952951</c:v>
                </c:pt>
                <c:pt idx="528" formatCode="0.0000">
                  <c:v>92.02604567844985</c:v>
                </c:pt>
                <c:pt idx="529" formatCode="0.0000">
                  <c:v>92.03072601984565</c:v>
                </c:pt>
                <c:pt idx="530" formatCode="0.0000">
                  <c:v>92.0344227127443</c:v>
                </c:pt>
                <c:pt idx="531" formatCode="0.0000">
                  <c:v>92.03906621422848</c:v>
                </c:pt>
                <c:pt idx="532" formatCode="0.0000">
                  <c:v>92.0427254211054</c:v>
                </c:pt>
                <c:pt idx="533" formatCode="0.0000">
                  <c:v>92.04637563745213</c:v>
                </c:pt>
                <c:pt idx="534" formatCode="0.0000">
                  <c:v>92.04999703236794</c:v>
                </c:pt>
                <c:pt idx="535" formatCode="0.0000">
                  <c:v>92.05456652798628</c:v>
                </c:pt>
                <c:pt idx="536" formatCode="0.0000">
                  <c:v>92.05816034197772</c:v>
                </c:pt>
                <c:pt idx="537" formatCode="0.0000">
                  <c:v>92.06172534339756</c:v>
                </c:pt>
                <c:pt idx="538" formatCode="0.0000">
                  <c:v>92.06528133945301</c:v>
                </c:pt>
                <c:pt idx="539" formatCode="0.0000">
                  <c:v>92.06976693008313</c:v>
                </c:pt>
                <c:pt idx="540" formatCode="0.0000">
                  <c:v>92.073285434245</c:v>
                </c:pt>
                <c:pt idx="541" formatCode="0.0000">
                  <c:v>92.07677513768202</c:v>
                </c:pt>
                <c:pt idx="542" formatCode="0.0000">
                  <c:v>92.08025582390793</c:v>
                </c:pt>
                <c:pt idx="543" formatCode="0.0000">
                  <c:v>92.08370771538382</c:v>
                </c:pt>
                <c:pt idx="544" formatCode="0.0000">
                  <c:v>92.08715058367376</c:v>
                </c:pt>
                <c:pt idx="545" formatCode="0.0000">
                  <c:v>92.09057454150194</c:v>
                </c:pt>
                <c:pt idx="546" formatCode="0.0000">
                  <c:v>92.09396971354243</c:v>
                </c:pt>
                <c:pt idx="547" formatCode="0.0000">
                  <c:v>92.09639484423273</c:v>
                </c:pt>
                <c:pt idx="548" formatCode="0.0000">
                  <c:v>92.09590653780744</c:v>
                </c:pt>
                <c:pt idx="549" formatCode="0.0000">
                  <c:v>92.09444492363263</c:v>
                </c:pt>
                <c:pt idx="550" formatCode="0.0000">
                  <c:v>92.09295127674068</c:v>
                </c:pt>
                <c:pt idx="551" formatCode="0.0000">
                  <c:v>92.09240763746173</c:v>
                </c:pt>
                <c:pt idx="552" formatCode="0.0000">
                  <c:v>92.0908699852444</c:v>
                </c:pt>
                <c:pt idx="553" formatCode="0.0000">
                  <c:v>92.08932002057248</c:v>
                </c:pt>
                <c:pt idx="554" formatCode="0.0000">
                  <c:v>92.08774788501441</c:v>
                </c:pt>
                <c:pt idx="555" formatCode="0.0000">
                  <c:v>92.08710735127807</c:v>
                </c:pt>
                <c:pt idx="556" formatCode="0.0000">
                  <c:v>92.08549120349269</c:v>
                </c:pt>
                <c:pt idx="557" formatCode="0.0000">
                  <c:v>92.08384304730161</c:v>
                </c:pt>
                <c:pt idx="558" formatCode="0.0000">
                  <c:v>92.08314715640012</c:v>
                </c:pt>
                <c:pt idx="559" formatCode="0.0000">
                  <c:v>92.08145499488373</c:v>
                </c:pt>
                <c:pt idx="560" formatCode="0.0000">
                  <c:v>92.07975049660119</c:v>
                </c:pt>
                <c:pt idx="561" formatCode="0.0000">
                  <c:v>92.07801400382004</c:v>
                </c:pt>
                <c:pt idx="562" formatCode="0.0000">
                  <c:v>92.07723106638515</c:v>
                </c:pt>
                <c:pt idx="563" formatCode="0.0000">
                  <c:v>92.07546038498911</c:v>
                </c:pt>
                <c:pt idx="564" formatCode="0.0000">
                  <c:v>92.07365771949898</c:v>
                </c:pt>
                <c:pt idx="565" formatCode="0.0000">
                  <c:v>92.07184269983315</c:v>
                </c:pt>
                <c:pt idx="566" formatCode="0.0000">
                  <c:v>92.07096290615945</c:v>
                </c:pt>
                <c:pt idx="567" formatCode="0.0000">
                  <c:v>92.06910387426628</c:v>
                </c:pt>
                <c:pt idx="568" formatCode="0.0000">
                  <c:v>92.06721287218606</c:v>
                </c:pt>
                <c:pt idx="569" formatCode="0.0000">
                  <c:v>92.06627768312858</c:v>
                </c:pt>
                <c:pt idx="570" formatCode="0.0000">
                  <c:v>92.06434267572304</c:v>
                </c:pt>
                <c:pt idx="571" formatCode="0.0000">
                  <c:v>92.06239529333274</c:v>
                </c:pt>
                <c:pt idx="572" formatCode="0.0000">
                  <c:v>92.0604257400563</c:v>
                </c:pt>
                <c:pt idx="573" formatCode="0.0000">
                  <c:v>92.05939371907156</c:v>
                </c:pt>
                <c:pt idx="574" formatCode="0.0000">
                  <c:v>92.05738015356779</c:v>
                </c:pt>
                <c:pt idx="575" formatCode="0.0000">
                  <c:v>92.05533464218847</c:v>
                </c:pt>
                <c:pt idx="576" formatCode="0.0000">
                  <c:v>92.05424720150844</c:v>
                </c:pt>
                <c:pt idx="577" formatCode="0.0000">
                  <c:v>92.0521576848038</c:v>
                </c:pt>
                <c:pt idx="578" formatCode="0.0000">
                  <c:v>92.0510268838783</c:v>
                </c:pt>
                <c:pt idx="579" formatCode="0.0000">
                  <c:v>92.0488933618483</c:v>
                </c:pt>
                <c:pt idx="580" formatCode="0.0000">
                  <c:v>92.04674743362007</c:v>
                </c:pt>
                <c:pt idx="581" formatCode="0.0000">
                  <c:v>92.04555142760541</c:v>
                </c:pt>
                <c:pt idx="582" formatCode="0.0000">
                  <c:v>92.04335173286645</c:v>
                </c:pt>
                <c:pt idx="583" formatCode="0.0000">
                  <c:v>92.0421123666063</c:v>
                </c:pt>
                <c:pt idx="584" formatCode="0.0000">
                  <c:v>92.039868666542</c:v>
                </c:pt>
                <c:pt idx="585" formatCode="0.0000">
                  <c:v>92.03858594003641</c:v>
                </c:pt>
                <c:pt idx="586" formatCode="0.0000">
                  <c:v>92.03629823464676</c:v>
                </c:pt>
                <c:pt idx="587" formatCode="0.0000">
                  <c:v>92.03497214789567</c:v>
                </c:pt>
                <c:pt idx="588" formatCode="0.0000">
                  <c:v>92.0326404371807</c:v>
                </c:pt>
                <c:pt idx="589" formatCode="0.0000">
                  <c:v>92.03127099018415</c:v>
                </c:pt>
                <c:pt idx="590" formatCode="0.0000">
                  <c:v>92.02988002438634</c:v>
                </c:pt>
                <c:pt idx="591" formatCode="0.0000">
                  <c:v>92.02748246690182</c:v>
                </c:pt>
                <c:pt idx="592" formatCode="0.0000">
                  <c:v>92.02604814085853</c:v>
                </c:pt>
                <c:pt idx="593" formatCode="0.0000">
                  <c:v>92.02458258303963</c:v>
                </c:pt>
                <c:pt idx="594" formatCode="0.0000">
                  <c:v>92.02212889175991</c:v>
                </c:pt>
                <c:pt idx="595" formatCode="0.0000">
                  <c:v>92.02061998059754</c:v>
                </c:pt>
                <c:pt idx="596" formatCode="0.0000">
                  <c:v>92.01909926010577</c:v>
                </c:pt>
                <c:pt idx="597" formatCode="0.0000">
                  <c:v>92.01755702081273</c:v>
                </c:pt>
                <c:pt idx="598" formatCode="0.0000">
                  <c:v>92.0150059318474</c:v>
                </c:pt>
                <c:pt idx="599" formatCode="0.0000">
                  <c:v>92.01342033230891</c:v>
                </c:pt>
                <c:pt idx="600" formatCode="0.0000">
                  <c:v>92.01180352499726</c:v>
                </c:pt>
                <c:pt idx="601" formatCode="0.0000">
                  <c:v>90.2340299657431</c:v>
                </c:pt>
                <c:pt idx="602" formatCode="0.0000">
                  <c:v>87.29310984994788</c:v>
                </c:pt>
                <c:pt idx="603" formatCode="0.0000">
                  <c:v>84.35331349757993</c:v>
                </c:pt>
                <c:pt idx="604" formatCode="0.0000">
                  <c:v>81.41647955500815</c:v>
                </c:pt>
                <c:pt idx="605" formatCode="0.0000">
                  <c:v>78.48077002154119</c:v>
                </c:pt>
                <c:pt idx="606" formatCode="0.0000">
                  <c:v>75.5471040589438</c:v>
                </c:pt>
                <c:pt idx="607" formatCode="0.0000">
                  <c:v>72.61639953762602</c:v>
                </c:pt>
                <c:pt idx="608" formatCode="0.0000">
                  <c:v>69.68682039393006</c:v>
                </c:pt>
                <c:pt idx="609" formatCode="0.0000">
                  <c:v>66.76020204583487</c:v>
                </c:pt>
                <c:pt idx="610" formatCode="0.0000">
                  <c:v>63.83470972103991</c:v>
                </c:pt>
                <c:pt idx="611" formatCode="0.0000">
                  <c:v>60.91282768521611</c:v>
                </c:pt>
                <c:pt idx="612" formatCode="0.0000">
                  <c:v>57.99139121612715</c:v>
                </c:pt>
                <c:pt idx="613" formatCode="0.0000">
                  <c:v>55.07291426106596</c:v>
                </c:pt>
                <c:pt idx="614" formatCode="0.0000">
                  <c:v>52.15556461087799</c:v>
                </c:pt>
                <c:pt idx="615" formatCode="0.0000">
                  <c:v>49.24078482761102</c:v>
                </c:pt>
                <c:pt idx="616" formatCode="0.0000">
                  <c:v>46.32840634039183</c:v>
                </c:pt>
                <c:pt idx="617" formatCode="0.0000">
                  <c:v>43.41762049622385</c:v>
                </c:pt>
                <c:pt idx="618" formatCode="0.0000">
                  <c:v>40.50929722881608</c:v>
                </c:pt>
                <c:pt idx="619" formatCode="0.0000">
                  <c:v>37.60250532374712</c:v>
                </c:pt>
                <c:pt idx="620" formatCode="0.0000">
                  <c:v>34.69823727614991</c:v>
                </c:pt>
                <c:pt idx="621" formatCode="0.0000">
                  <c:v>31.79543931017994</c:v>
                </c:pt>
                <c:pt idx="622" formatCode="0.0000">
                  <c:v>28.89522648239417</c:v>
                </c:pt>
                <c:pt idx="623" formatCode="0.0000">
                  <c:v>25.9964224555232</c:v>
                </c:pt>
                <c:pt idx="624" formatCode="0.0000">
                  <c:v>23.09960007313182</c:v>
                </c:pt>
                <c:pt idx="625" formatCode="0.0000">
                  <c:v>20.20545475977604</c:v>
                </c:pt>
                <c:pt idx="626" formatCode="0.0000">
                  <c:v>17.31262631648407</c:v>
                </c:pt>
                <c:pt idx="627" formatCode="0.0000">
                  <c:v>14.42269101934788</c:v>
                </c:pt>
                <c:pt idx="628" formatCode="0.0000">
                  <c:v>11.53382555195991</c:v>
                </c:pt>
                <c:pt idx="629" formatCode="0.0000">
                  <c:v>8.647852604616133</c:v>
                </c:pt>
                <c:pt idx="630" formatCode="0.0000">
                  <c:v>5.762950113132157</c:v>
                </c:pt>
                <c:pt idx="631" formatCode="0.0000">
                  <c:v>2.880939515579965</c:v>
                </c:pt>
                <c:pt idx="632" formatCode="0.0000">
                  <c:v>0.0</c:v>
                </c:pt>
              </c:numCache>
            </c:numRef>
          </c:yVal>
          <c:smooth val="1"/>
        </c:ser>
        <c:dLbls/>
        <c:axId val="576311672"/>
        <c:axId val="576345320"/>
      </c:scatterChart>
      <c:valAx>
        <c:axId val="576311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Wavelength, um</a:t>
                </a:r>
              </a:p>
            </c:rich>
          </c:tx>
        </c:title>
        <c:numFmt formatCode="General" sourceLinked="1"/>
        <c:tickLblPos val="nextTo"/>
        <c:crossAx val="576345320"/>
        <c:crosses val="autoZero"/>
        <c:crossBetween val="midCat"/>
      </c:valAx>
      <c:valAx>
        <c:axId val="576345320"/>
        <c:scaling>
          <c:orientation val="minMax"/>
        </c:scaling>
        <c:axPos val="l"/>
        <c:majorGridlines/>
        <c:numFmt formatCode="General" sourceLinked="1"/>
        <c:tickLblPos val="nextTo"/>
        <c:crossAx val="576311672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QE</a:t>
            </a:r>
            <a:r>
              <a:rPr lang="en-US" baseline="0"/>
              <a:t> &amp; fit for 2.5um cutoff</a:t>
            </a:r>
            <a:endParaRPr lang="en-US"/>
          </a:p>
        </c:rich>
      </c:tx>
      <c:layout>
        <c:manualLayout>
          <c:xMode val="edge"/>
          <c:yMode val="edge"/>
          <c:x val="0.172319335083116"/>
          <c:y val="0.013888888888889"/>
        </c:manualLayout>
      </c:layout>
      <c:overlay val="1"/>
    </c:title>
    <c:plotArea>
      <c:layout>
        <c:manualLayout>
          <c:layoutTarget val="inner"/>
          <c:xMode val="edge"/>
          <c:yMode val="edge"/>
          <c:x val="0.0915021872265967"/>
          <c:y val="0.162396106736658"/>
          <c:w val="0.858817147856518"/>
          <c:h val="0.687229512977545"/>
        </c:manualLayout>
      </c:layout>
      <c:scatterChart>
        <c:scatterStyle val="lineMarker"/>
        <c:ser>
          <c:idx val="0"/>
          <c:order val="0"/>
          <c:tx>
            <c:strRef>
              <c:f>'new qe'!$A$31</c:f>
              <c:strCache>
                <c:ptCount val="1"/>
                <c:pt idx="0">
                  <c:v>qe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6759186351707"/>
                  <c:y val="0.0778470399533399"/>
                </c:manualLayout>
              </c:layout>
              <c:numFmt formatCode="General" sourceLinked="0"/>
            </c:trendlineLbl>
          </c:trendline>
          <c:xVal>
            <c:numRef>
              <c:f>'new qe'!$B$30:$O$30</c:f>
              <c:numCache>
                <c:formatCode>General</c:formatCode>
                <c:ptCount val="14"/>
                <c:pt idx="0">
                  <c:v>0.375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1.0</c:v>
                </c:pt>
                <c:pt idx="6">
                  <c:v>1.125</c:v>
                </c:pt>
                <c:pt idx="7">
                  <c:v>1.25</c:v>
                </c:pt>
                <c:pt idx="8">
                  <c:v>1.375</c:v>
                </c:pt>
                <c:pt idx="9">
                  <c:v>1.5</c:v>
                </c:pt>
                <c:pt idx="10">
                  <c:v>1.625</c:v>
                </c:pt>
                <c:pt idx="11">
                  <c:v>1.75</c:v>
                </c:pt>
                <c:pt idx="12">
                  <c:v>1.875</c:v>
                </c:pt>
                <c:pt idx="13">
                  <c:v>2.0</c:v>
                </c:pt>
              </c:numCache>
            </c:numRef>
          </c:xVal>
          <c:yVal>
            <c:numRef>
              <c:f>'new qe'!$B$31:$O$31</c:f>
              <c:numCache>
                <c:formatCode>General</c:formatCode>
                <c:ptCount val="14"/>
                <c:pt idx="0">
                  <c:v>0.6</c:v>
                </c:pt>
                <c:pt idx="1">
                  <c:v>0.66</c:v>
                </c:pt>
                <c:pt idx="2">
                  <c:v>0.81</c:v>
                </c:pt>
                <c:pt idx="3">
                  <c:v>0.7</c:v>
                </c:pt>
                <c:pt idx="4">
                  <c:v>0.85</c:v>
                </c:pt>
                <c:pt idx="5">
                  <c:v>0.85</c:v>
                </c:pt>
                <c:pt idx="6">
                  <c:v>0.82</c:v>
                </c:pt>
                <c:pt idx="7">
                  <c:v>0.78</c:v>
                </c:pt>
                <c:pt idx="8">
                  <c:v>0.79</c:v>
                </c:pt>
                <c:pt idx="9">
                  <c:v>0.8</c:v>
                </c:pt>
                <c:pt idx="10">
                  <c:v>0.81</c:v>
                </c:pt>
                <c:pt idx="11">
                  <c:v>0.82</c:v>
                </c:pt>
                <c:pt idx="12">
                  <c:v>0.88</c:v>
                </c:pt>
                <c:pt idx="13">
                  <c:v>0.92</c:v>
                </c:pt>
              </c:numCache>
            </c:numRef>
          </c:yVal>
        </c:ser>
        <c:dLbls/>
        <c:axId val="576493064"/>
        <c:axId val="576496232"/>
      </c:scatterChart>
      <c:valAx>
        <c:axId val="5764930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496232"/>
        <c:crosses val="autoZero"/>
        <c:crossBetween val="midCat"/>
      </c:valAx>
      <c:valAx>
        <c:axId val="576496232"/>
        <c:scaling>
          <c:orientation val="minMax"/>
        </c:scaling>
        <c:axPos val="l"/>
        <c:majorGridlines/>
        <c:numFmt formatCode="General" sourceLinked="1"/>
        <c:tickLblPos val="nextTo"/>
        <c:crossAx val="576493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6791557305334"/>
          <c:y val="0.566687809857101"/>
          <c:w val="0.276902887139112"/>
          <c:h val="0.234580052493438"/>
        </c:manualLayout>
      </c:layout>
    </c:legend>
    <c:plotVisOnly val="1"/>
    <c:dispBlanksAs val="gap"/>
  </c:chart>
  <c:txPr>
    <a:bodyPr/>
    <a:lstStyle/>
    <a:p>
      <a:pPr>
        <a:defRPr sz="1600"/>
      </a:pPr>
      <a:endParaRPr lang="en-US"/>
    </a:p>
  </c:txPr>
  <c:printSettings>
    <c:headerFooter/>
    <c:pageMargins b="0.750000000000005" l="0.700000000000001" r="0.700000000000001" t="0.75000000000000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QE estimate 6/22/2011 vs. wavelength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8363517060367"/>
          <c:y val="0.148622776319627"/>
          <c:w val="0.822053149606299"/>
          <c:h val="0.70100284339458"/>
        </c:manualLayout>
      </c:layout>
      <c:scatterChart>
        <c:scatterStyle val="smoothMarker"/>
        <c:ser>
          <c:idx val="0"/>
          <c:order val="0"/>
          <c:tx>
            <c:strRef>
              <c:f>'new qe'!$N$55</c:f>
              <c:strCache>
                <c:ptCount val="1"/>
                <c:pt idx="0">
                  <c:v>QE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247222222222223"/>
                  <c:y val="0.477090259550889"/>
                </c:manualLayout>
              </c:layout>
              <c:numFmt formatCode="0.0000E+00" sourceLinked="0"/>
            </c:trendlineLbl>
          </c:trendline>
          <c:xVal>
            <c:numRef>
              <c:f>'new qe'!$L$59:$L$82</c:f>
              <c:numCache>
                <c:formatCode>0.0000</c:formatCode>
                <c:ptCount val="24"/>
                <c:pt idx="0">
                  <c:v>0.5875</c:v>
                </c:pt>
                <c:pt idx="1">
                  <c:v>0.65</c:v>
                </c:pt>
                <c:pt idx="2">
                  <c:v>0.7125</c:v>
                </c:pt>
                <c:pt idx="3">
                  <c:v>0.775</c:v>
                </c:pt>
                <c:pt idx="4">
                  <c:v>0.8375</c:v>
                </c:pt>
                <c:pt idx="5">
                  <c:v>0.9</c:v>
                </c:pt>
                <c:pt idx="6">
                  <c:v>0.9625</c:v>
                </c:pt>
                <c:pt idx="7">
                  <c:v>1.025</c:v>
                </c:pt>
                <c:pt idx="8">
                  <c:v>1.0875</c:v>
                </c:pt>
                <c:pt idx="9">
                  <c:v>1.15</c:v>
                </c:pt>
                <c:pt idx="10">
                  <c:v>1.2125</c:v>
                </c:pt>
                <c:pt idx="11">
                  <c:v>1.275</c:v>
                </c:pt>
                <c:pt idx="12">
                  <c:v>1.3375</c:v>
                </c:pt>
                <c:pt idx="13">
                  <c:v>1.4</c:v>
                </c:pt>
                <c:pt idx="14">
                  <c:v>1.4625</c:v>
                </c:pt>
                <c:pt idx="15">
                  <c:v>1.525</c:v>
                </c:pt>
                <c:pt idx="16">
                  <c:v>1.5875</c:v>
                </c:pt>
                <c:pt idx="17">
                  <c:v>1.65</c:v>
                </c:pt>
                <c:pt idx="18">
                  <c:v>1.7125</c:v>
                </c:pt>
                <c:pt idx="19">
                  <c:v>1.775</c:v>
                </c:pt>
                <c:pt idx="20">
                  <c:v>1.8375</c:v>
                </c:pt>
                <c:pt idx="21">
                  <c:v>1.9</c:v>
                </c:pt>
                <c:pt idx="22">
                  <c:v>1.9625</c:v>
                </c:pt>
                <c:pt idx="23">
                  <c:v>2.025</c:v>
                </c:pt>
              </c:numCache>
            </c:numRef>
          </c:xVal>
          <c:yVal>
            <c:numRef>
              <c:f>'new qe'!$N$59:$N$82</c:f>
              <c:numCache>
                <c:formatCode>0.000</c:formatCode>
                <c:ptCount val="24"/>
                <c:pt idx="0">
                  <c:v>0.8975</c:v>
                </c:pt>
                <c:pt idx="1">
                  <c:v>0.92</c:v>
                </c:pt>
                <c:pt idx="2">
                  <c:v>0.885</c:v>
                </c:pt>
                <c:pt idx="3">
                  <c:v>0.85</c:v>
                </c:pt>
                <c:pt idx="4">
                  <c:v>0.835</c:v>
                </c:pt>
                <c:pt idx="5">
                  <c:v>0.83</c:v>
                </c:pt>
                <c:pt idx="6">
                  <c:v>0.8425</c:v>
                </c:pt>
                <c:pt idx="7">
                  <c:v>0.855</c:v>
                </c:pt>
                <c:pt idx="8">
                  <c:v>0.8725</c:v>
                </c:pt>
                <c:pt idx="9">
                  <c:v>0.89</c:v>
                </c:pt>
                <c:pt idx="10">
                  <c:v>0.905</c:v>
                </c:pt>
                <c:pt idx="11">
                  <c:v>0.92</c:v>
                </c:pt>
                <c:pt idx="12">
                  <c:v>0.925</c:v>
                </c:pt>
                <c:pt idx="13">
                  <c:v>0.93</c:v>
                </c:pt>
                <c:pt idx="14">
                  <c:v>0.9325</c:v>
                </c:pt>
                <c:pt idx="15">
                  <c:v>0.935</c:v>
                </c:pt>
                <c:pt idx="16">
                  <c:v>0.93</c:v>
                </c:pt>
                <c:pt idx="17">
                  <c:v>0.925</c:v>
                </c:pt>
                <c:pt idx="18">
                  <c:v>0.92</c:v>
                </c:pt>
                <c:pt idx="19">
                  <c:v>0.915</c:v>
                </c:pt>
                <c:pt idx="20">
                  <c:v>0.91</c:v>
                </c:pt>
                <c:pt idx="21">
                  <c:v>0.905</c:v>
                </c:pt>
                <c:pt idx="22">
                  <c:v>0.9</c:v>
                </c:pt>
                <c:pt idx="23">
                  <c:v>0.895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 qe'!$O$55</c:f>
              <c:strCache>
                <c:ptCount val="1"/>
                <c:pt idx="0">
                  <c:v>old QE</c:v>
                </c:pt>
              </c:strCache>
            </c:strRef>
          </c:tx>
          <c:marker>
            <c:symbol val="none"/>
          </c:marker>
          <c:xVal>
            <c:numRef>
              <c:f>'new qe'!$L$56:$L$82</c:f>
              <c:numCache>
                <c:formatCode>0.0000</c:formatCode>
                <c:ptCount val="27"/>
                <c:pt idx="0">
                  <c:v>0.4</c:v>
                </c:pt>
                <c:pt idx="1">
                  <c:v>0.4625</c:v>
                </c:pt>
                <c:pt idx="2">
                  <c:v>0.525</c:v>
                </c:pt>
                <c:pt idx="3">
                  <c:v>0.5875</c:v>
                </c:pt>
                <c:pt idx="4">
                  <c:v>0.65</c:v>
                </c:pt>
                <c:pt idx="5">
                  <c:v>0.7125</c:v>
                </c:pt>
                <c:pt idx="6">
                  <c:v>0.775</c:v>
                </c:pt>
                <c:pt idx="7">
                  <c:v>0.8375</c:v>
                </c:pt>
                <c:pt idx="8">
                  <c:v>0.9</c:v>
                </c:pt>
                <c:pt idx="9">
                  <c:v>0.9625</c:v>
                </c:pt>
                <c:pt idx="10">
                  <c:v>1.025</c:v>
                </c:pt>
                <c:pt idx="11">
                  <c:v>1.0875</c:v>
                </c:pt>
                <c:pt idx="12">
                  <c:v>1.15</c:v>
                </c:pt>
                <c:pt idx="13">
                  <c:v>1.2125</c:v>
                </c:pt>
                <c:pt idx="14">
                  <c:v>1.275</c:v>
                </c:pt>
                <c:pt idx="15">
                  <c:v>1.3375</c:v>
                </c:pt>
                <c:pt idx="16">
                  <c:v>1.4</c:v>
                </c:pt>
                <c:pt idx="17">
                  <c:v>1.4625</c:v>
                </c:pt>
                <c:pt idx="18">
                  <c:v>1.525</c:v>
                </c:pt>
                <c:pt idx="19">
                  <c:v>1.5875</c:v>
                </c:pt>
                <c:pt idx="20">
                  <c:v>1.65</c:v>
                </c:pt>
                <c:pt idx="21">
                  <c:v>1.7125</c:v>
                </c:pt>
                <c:pt idx="22">
                  <c:v>1.775</c:v>
                </c:pt>
                <c:pt idx="23">
                  <c:v>1.8375</c:v>
                </c:pt>
                <c:pt idx="24">
                  <c:v>1.9</c:v>
                </c:pt>
                <c:pt idx="25">
                  <c:v>1.9625</c:v>
                </c:pt>
                <c:pt idx="26">
                  <c:v>2.025</c:v>
                </c:pt>
              </c:numCache>
            </c:numRef>
          </c:xVal>
          <c:yVal>
            <c:numRef>
              <c:f>'new qe'!$O$56:$O$82</c:f>
              <c:numCache>
                <c:formatCode>0.000</c:formatCode>
                <c:ptCount val="27"/>
                <c:pt idx="0">
                  <c:v>0.6956</c:v>
                </c:pt>
                <c:pt idx="1">
                  <c:v>0.70325625</c:v>
                </c:pt>
                <c:pt idx="2">
                  <c:v>0.7109125</c:v>
                </c:pt>
                <c:pt idx="3">
                  <c:v>0.71856875</c:v>
                </c:pt>
                <c:pt idx="4">
                  <c:v>0.726225</c:v>
                </c:pt>
                <c:pt idx="5">
                  <c:v>0.73388125</c:v>
                </c:pt>
                <c:pt idx="6">
                  <c:v>0.7415375</c:v>
                </c:pt>
                <c:pt idx="7">
                  <c:v>0.74919375</c:v>
                </c:pt>
                <c:pt idx="8">
                  <c:v>0.75685</c:v>
                </c:pt>
                <c:pt idx="9">
                  <c:v>0.76450625</c:v>
                </c:pt>
                <c:pt idx="10">
                  <c:v>0.7721625</c:v>
                </c:pt>
                <c:pt idx="11">
                  <c:v>0.77981875</c:v>
                </c:pt>
                <c:pt idx="12">
                  <c:v>0.787475</c:v>
                </c:pt>
                <c:pt idx="13">
                  <c:v>0.79513125</c:v>
                </c:pt>
                <c:pt idx="14">
                  <c:v>0.8027875</c:v>
                </c:pt>
                <c:pt idx="15">
                  <c:v>0.81044375</c:v>
                </c:pt>
                <c:pt idx="16">
                  <c:v>0.8181</c:v>
                </c:pt>
                <c:pt idx="17">
                  <c:v>0.82575625</c:v>
                </c:pt>
                <c:pt idx="18">
                  <c:v>0.8334125</c:v>
                </c:pt>
                <c:pt idx="19">
                  <c:v>0.84106875</c:v>
                </c:pt>
                <c:pt idx="20">
                  <c:v>0.848725</c:v>
                </c:pt>
                <c:pt idx="21">
                  <c:v>0.85638125</c:v>
                </c:pt>
                <c:pt idx="22">
                  <c:v>0.8640375</c:v>
                </c:pt>
                <c:pt idx="23">
                  <c:v>0.87169375</c:v>
                </c:pt>
                <c:pt idx="24">
                  <c:v>0.87935</c:v>
                </c:pt>
                <c:pt idx="25">
                  <c:v>0.88700625</c:v>
                </c:pt>
                <c:pt idx="26">
                  <c:v>0.8946625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'new qe'!$P$55</c:f>
              <c:strCache>
                <c:ptCount val="1"/>
                <c:pt idx="0">
                  <c:v>Qe model</c:v>
                </c:pt>
              </c:strCache>
            </c:strRef>
          </c:tx>
          <c:marker>
            <c:symbol val="none"/>
          </c:marker>
          <c:xVal>
            <c:numRef>
              <c:f>'new qe'!$L$56:$L$82</c:f>
              <c:numCache>
                <c:formatCode>0.0000</c:formatCode>
                <c:ptCount val="27"/>
                <c:pt idx="0">
                  <c:v>0.4</c:v>
                </c:pt>
                <c:pt idx="1">
                  <c:v>0.4625</c:v>
                </c:pt>
                <c:pt idx="2">
                  <c:v>0.525</c:v>
                </c:pt>
                <c:pt idx="3">
                  <c:v>0.5875</c:v>
                </c:pt>
                <c:pt idx="4">
                  <c:v>0.65</c:v>
                </c:pt>
                <c:pt idx="5">
                  <c:v>0.7125</c:v>
                </c:pt>
                <c:pt idx="6">
                  <c:v>0.775</c:v>
                </c:pt>
                <c:pt idx="7">
                  <c:v>0.8375</c:v>
                </c:pt>
                <c:pt idx="8">
                  <c:v>0.9</c:v>
                </c:pt>
                <c:pt idx="9">
                  <c:v>0.9625</c:v>
                </c:pt>
                <c:pt idx="10">
                  <c:v>1.025</c:v>
                </c:pt>
                <c:pt idx="11">
                  <c:v>1.0875</c:v>
                </c:pt>
                <c:pt idx="12">
                  <c:v>1.15</c:v>
                </c:pt>
                <c:pt idx="13">
                  <c:v>1.2125</c:v>
                </c:pt>
                <c:pt idx="14">
                  <c:v>1.275</c:v>
                </c:pt>
                <c:pt idx="15">
                  <c:v>1.3375</c:v>
                </c:pt>
                <c:pt idx="16">
                  <c:v>1.4</c:v>
                </c:pt>
                <c:pt idx="17">
                  <c:v>1.4625</c:v>
                </c:pt>
                <c:pt idx="18">
                  <c:v>1.525</c:v>
                </c:pt>
                <c:pt idx="19">
                  <c:v>1.5875</c:v>
                </c:pt>
                <c:pt idx="20">
                  <c:v>1.65</c:v>
                </c:pt>
                <c:pt idx="21">
                  <c:v>1.7125</c:v>
                </c:pt>
                <c:pt idx="22">
                  <c:v>1.775</c:v>
                </c:pt>
                <c:pt idx="23">
                  <c:v>1.8375</c:v>
                </c:pt>
                <c:pt idx="24">
                  <c:v>1.9</c:v>
                </c:pt>
                <c:pt idx="25">
                  <c:v>1.9625</c:v>
                </c:pt>
                <c:pt idx="26">
                  <c:v>2.025</c:v>
                </c:pt>
              </c:numCache>
            </c:numRef>
          </c:xVal>
          <c:yVal>
            <c:numRef>
              <c:f>'new qe'!$P$56:$P$82</c:f>
              <c:numCache>
                <c:formatCode>0.000</c:formatCode>
                <c:ptCount val="27"/>
                <c:pt idx="0">
                  <c:v>0.651765228799999</c:v>
                </c:pt>
                <c:pt idx="1">
                  <c:v>0.811747852874509</c:v>
                </c:pt>
                <c:pt idx="2">
                  <c:v>0.88622928131074</c:v>
                </c:pt>
                <c:pt idx="3">
                  <c:v>0.907535199174921</c:v>
                </c:pt>
                <c:pt idx="4">
                  <c:v>0.899617728987494</c:v>
                </c:pt>
                <c:pt idx="5">
                  <c:v>0.879429176069205</c:v>
                </c:pt>
                <c:pt idx="6">
                  <c:v>0.858185601615426</c:v>
                </c:pt>
                <c:pt idx="7">
                  <c:v>0.842520223498775</c:v>
                </c:pt>
                <c:pt idx="8">
                  <c:v>0.835526644799991</c:v>
                </c:pt>
                <c:pt idx="9">
                  <c:v>0.83769191006713</c:v>
                </c:pt>
                <c:pt idx="10">
                  <c:v>0.847719389302925</c:v>
                </c:pt>
                <c:pt idx="11">
                  <c:v>0.863241489680544</c:v>
                </c:pt>
                <c:pt idx="12">
                  <c:v>0.88142219498749</c:v>
                </c:pt>
                <c:pt idx="13">
                  <c:v>0.899449432797924</c:v>
                </c:pt>
                <c:pt idx="14">
                  <c:v>0.914917269373184</c:v>
                </c:pt>
                <c:pt idx="15">
                  <c:v>0.926097932290537</c:v>
                </c:pt>
                <c:pt idx="16">
                  <c:v>0.932103660799989</c:v>
                </c:pt>
                <c:pt idx="17">
                  <c:v>0.932938383910081</c:v>
                </c:pt>
                <c:pt idx="18">
                  <c:v>0.929439226201332</c:v>
                </c:pt>
                <c:pt idx="19">
                  <c:v>0.923107841367781</c:v>
                </c:pt>
                <c:pt idx="20">
                  <c:v>0.915831573487473</c:v>
                </c:pt>
                <c:pt idx="21">
                  <c:v>0.909494446020872</c:v>
                </c:pt>
                <c:pt idx="22">
                  <c:v>0.905477978537164</c:v>
                </c:pt>
                <c:pt idx="23">
                  <c:v>0.904051831170165</c:v>
                </c:pt>
                <c:pt idx="24">
                  <c:v>0.903654276799728</c:v>
                </c:pt>
                <c:pt idx="25">
                  <c:v>0.900062500966015</c:v>
                </c:pt>
                <c:pt idx="26">
                  <c:v>0.885452729505857</c:v>
                </c:pt>
              </c:numCache>
            </c:numRef>
          </c:yVal>
          <c:smooth val="1"/>
        </c:ser>
        <c:dLbls/>
        <c:axId val="576523704"/>
        <c:axId val="576526968"/>
      </c:scatterChart>
      <c:valAx>
        <c:axId val="576523704"/>
        <c:scaling>
          <c:orientation val="minMax"/>
        </c:scaling>
        <c:axPos val="b"/>
        <c:numFmt formatCode="0.0" sourceLinked="0"/>
        <c:tickLblPos val="nextTo"/>
        <c:crossAx val="576526968"/>
        <c:crosses val="autoZero"/>
        <c:crossBetween val="midCat"/>
      </c:valAx>
      <c:valAx>
        <c:axId val="576526968"/>
        <c:scaling>
          <c:orientation val="minMax"/>
          <c:max val="1.0"/>
          <c:min val="0.600000000000001"/>
        </c:scaling>
        <c:axPos val="l"/>
        <c:majorGridlines/>
        <c:numFmt formatCode="0.00" sourceLinked="0"/>
        <c:tickLblPos val="nextTo"/>
        <c:crossAx val="576523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222222222222"/>
          <c:y val="0.369794400699912"/>
          <c:w val="0.193763998250219"/>
          <c:h val="0.334868766404201"/>
        </c:manualLayout>
      </c:layout>
    </c:legend>
    <c:plotVisOnly val="1"/>
    <c:dispBlanksAs val="gap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261096605744125"/>
          <c:y val="0.0286396348260104"/>
          <c:w val="0.657963446475203"/>
          <c:h val="0.871122225957815"/>
        </c:manualLayout>
      </c:layout>
      <c:scatterChart>
        <c:scatterStyle val="smoothMarker"/>
        <c:ser>
          <c:idx val="0"/>
          <c:order val="0"/>
          <c:tx>
            <c:strRef>
              <c:f>pAg!$B$2</c:f>
              <c:strCache>
                <c:ptCount val="1"/>
                <c:pt idx="0">
                  <c:v>pAg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0208448766000193"/>
                  <c:y val="0.248087811954046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pAg!$A$3:$A$47</c:f>
              <c:numCache>
                <c:formatCode>General</c:formatCode>
                <c:ptCount val="45"/>
                <c:pt idx="0">
                  <c:v>0.38</c:v>
                </c:pt>
                <c:pt idx="1">
                  <c:v>0.4</c:v>
                </c:pt>
                <c:pt idx="2">
                  <c:v>0.43</c:v>
                </c:pt>
                <c:pt idx="3">
                  <c:v>0.47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</c:v>
                </c:pt>
                <c:pt idx="14">
                  <c:v>1.0</c:v>
                </c:pt>
                <c:pt idx="15">
                  <c:v>1.04</c:v>
                </c:pt>
                <c:pt idx="16">
                  <c:v>1.08</c:v>
                </c:pt>
                <c:pt idx="17">
                  <c:v>1.12</c:v>
                </c:pt>
                <c:pt idx="18">
                  <c:v>1.16</c:v>
                </c:pt>
                <c:pt idx="19">
                  <c:v>1.205</c:v>
                </c:pt>
                <c:pt idx="20">
                  <c:v>1.25</c:v>
                </c:pt>
                <c:pt idx="21">
                  <c:v>1.29</c:v>
                </c:pt>
                <c:pt idx="22">
                  <c:v>1.33</c:v>
                </c:pt>
                <c:pt idx="23">
                  <c:v>1.37</c:v>
                </c:pt>
                <c:pt idx="24">
                  <c:v>1.41</c:v>
                </c:pt>
                <c:pt idx="25">
                  <c:v>1.455</c:v>
                </c:pt>
                <c:pt idx="26">
                  <c:v>1.5</c:v>
                </c:pt>
                <c:pt idx="27">
                  <c:v>1.545</c:v>
                </c:pt>
                <c:pt idx="28">
                  <c:v>1.59</c:v>
                </c:pt>
                <c:pt idx="29">
                  <c:v>1.63</c:v>
                </c:pt>
                <c:pt idx="30">
                  <c:v>1.67</c:v>
                </c:pt>
                <c:pt idx="31">
                  <c:v>1.71</c:v>
                </c:pt>
                <c:pt idx="32">
                  <c:v>1.75</c:v>
                </c:pt>
                <c:pt idx="33">
                  <c:v>1.79</c:v>
                </c:pt>
                <c:pt idx="34">
                  <c:v>1.83</c:v>
                </c:pt>
                <c:pt idx="35">
                  <c:v>1.87</c:v>
                </c:pt>
                <c:pt idx="36">
                  <c:v>1.91</c:v>
                </c:pt>
                <c:pt idx="37">
                  <c:v>1.955</c:v>
                </c:pt>
                <c:pt idx="38">
                  <c:v>2.0</c:v>
                </c:pt>
                <c:pt idx="39">
                  <c:v>2.5</c:v>
                </c:pt>
                <c:pt idx="40">
                  <c:v>3.0</c:v>
                </c:pt>
                <c:pt idx="41">
                  <c:v>3.5</c:v>
                </c:pt>
                <c:pt idx="42">
                  <c:v>4.0</c:v>
                </c:pt>
                <c:pt idx="43">
                  <c:v>4.5</c:v>
                </c:pt>
                <c:pt idx="44">
                  <c:v>5.0</c:v>
                </c:pt>
              </c:numCache>
            </c:numRef>
          </c:xVal>
          <c:yVal>
            <c:numRef>
              <c:f>pAg!$B$3:$B$47</c:f>
              <c:numCache>
                <c:formatCode>General</c:formatCode>
                <c:ptCount val="45"/>
                <c:pt idx="0">
                  <c:v>0.84</c:v>
                </c:pt>
                <c:pt idx="2">
                  <c:v>0.87</c:v>
                </c:pt>
                <c:pt idx="3">
                  <c:v>0.9</c:v>
                </c:pt>
                <c:pt idx="4">
                  <c:v>0.92</c:v>
                </c:pt>
                <c:pt idx="5">
                  <c:v>0.925</c:v>
                </c:pt>
                <c:pt idx="6">
                  <c:v>0.93</c:v>
                </c:pt>
                <c:pt idx="7">
                  <c:v>0.9375</c:v>
                </c:pt>
                <c:pt idx="8">
                  <c:v>0.945</c:v>
                </c:pt>
                <c:pt idx="9">
                  <c:v>0.9525</c:v>
                </c:pt>
                <c:pt idx="10">
                  <c:v>0.96</c:v>
                </c:pt>
                <c:pt idx="11">
                  <c:v>0.965</c:v>
                </c:pt>
                <c:pt idx="12">
                  <c:v>0.97</c:v>
                </c:pt>
                <c:pt idx="13">
                  <c:v>0.975</c:v>
                </c:pt>
                <c:pt idx="14">
                  <c:v>0.98</c:v>
                </c:pt>
                <c:pt idx="15">
                  <c:v>0.9808</c:v>
                </c:pt>
                <c:pt idx="16">
                  <c:v>0.9816</c:v>
                </c:pt>
                <c:pt idx="17">
                  <c:v>0.9824</c:v>
                </c:pt>
                <c:pt idx="18">
                  <c:v>0.9832</c:v>
                </c:pt>
                <c:pt idx="19">
                  <c:v>0.9841</c:v>
                </c:pt>
                <c:pt idx="20">
                  <c:v>0.985</c:v>
                </c:pt>
                <c:pt idx="21">
                  <c:v>0.9858</c:v>
                </c:pt>
                <c:pt idx="22">
                  <c:v>0.9866</c:v>
                </c:pt>
                <c:pt idx="23">
                  <c:v>0.9874</c:v>
                </c:pt>
                <c:pt idx="24">
                  <c:v>0.9882</c:v>
                </c:pt>
                <c:pt idx="25">
                  <c:v>0.9891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pAg!$C$2</c:f>
              <c:strCache>
                <c:ptCount val="1"/>
                <c:pt idx="0">
                  <c:v>pAu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pAg!$A$3:$A$47</c:f>
              <c:numCache>
                <c:formatCode>General</c:formatCode>
                <c:ptCount val="45"/>
                <c:pt idx="0">
                  <c:v>0.38</c:v>
                </c:pt>
                <c:pt idx="1">
                  <c:v>0.4</c:v>
                </c:pt>
                <c:pt idx="2">
                  <c:v>0.43</c:v>
                </c:pt>
                <c:pt idx="3">
                  <c:v>0.47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</c:v>
                </c:pt>
                <c:pt idx="14">
                  <c:v>1.0</c:v>
                </c:pt>
                <c:pt idx="15">
                  <c:v>1.04</c:v>
                </c:pt>
                <c:pt idx="16">
                  <c:v>1.08</c:v>
                </c:pt>
                <c:pt idx="17">
                  <c:v>1.12</c:v>
                </c:pt>
                <c:pt idx="18">
                  <c:v>1.16</c:v>
                </c:pt>
                <c:pt idx="19">
                  <c:v>1.205</c:v>
                </c:pt>
                <c:pt idx="20">
                  <c:v>1.25</c:v>
                </c:pt>
                <c:pt idx="21">
                  <c:v>1.29</c:v>
                </c:pt>
                <c:pt idx="22">
                  <c:v>1.33</c:v>
                </c:pt>
                <c:pt idx="23">
                  <c:v>1.37</c:v>
                </c:pt>
                <c:pt idx="24">
                  <c:v>1.41</c:v>
                </c:pt>
                <c:pt idx="25">
                  <c:v>1.455</c:v>
                </c:pt>
                <c:pt idx="26">
                  <c:v>1.5</c:v>
                </c:pt>
                <c:pt idx="27">
                  <c:v>1.545</c:v>
                </c:pt>
                <c:pt idx="28">
                  <c:v>1.59</c:v>
                </c:pt>
                <c:pt idx="29">
                  <c:v>1.63</c:v>
                </c:pt>
                <c:pt idx="30">
                  <c:v>1.67</c:v>
                </c:pt>
                <c:pt idx="31">
                  <c:v>1.71</c:v>
                </c:pt>
                <c:pt idx="32">
                  <c:v>1.75</c:v>
                </c:pt>
                <c:pt idx="33">
                  <c:v>1.79</c:v>
                </c:pt>
                <c:pt idx="34">
                  <c:v>1.83</c:v>
                </c:pt>
                <c:pt idx="35">
                  <c:v>1.87</c:v>
                </c:pt>
                <c:pt idx="36">
                  <c:v>1.91</c:v>
                </c:pt>
                <c:pt idx="37">
                  <c:v>1.955</c:v>
                </c:pt>
                <c:pt idx="38">
                  <c:v>2.0</c:v>
                </c:pt>
                <c:pt idx="39">
                  <c:v>2.5</c:v>
                </c:pt>
                <c:pt idx="40">
                  <c:v>3.0</c:v>
                </c:pt>
                <c:pt idx="41">
                  <c:v>3.5</c:v>
                </c:pt>
                <c:pt idx="42">
                  <c:v>4.0</c:v>
                </c:pt>
                <c:pt idx="43">
                  <c:v>4.5</c:v>
                </c:pt>
                <c:pt idx="44">
                  <c:v>5.0</c:v>
                </c:pt>
              </c:numCache>
            </c:numRef>
          </c:xVal>
          <c:yVal>
            <c:numRef>
              <c:f>pAg!$C$3:$C$47</c:f>
              <c:numCache>
                <c:formatCode>General</c:formatCode>
                <c:ptCount val="45"/>
                <c:pt idx="4">
                  <c:v>0.42</c:v>
                </c:pt>
                <c:pt idx="5">
                  <c:v>0.67</c:v>
                </c:pt>
                <c:pt idx="6">
                  <c:v>0.92</c:v>
                </c:pt>
                <c:pt idx="7">
                  <c:v>0.945</c:v>
                </c:pt>
                <c:pt idx="8">
                  <c:v>0.97</c:v>
                </c:pt>
                <c:pt idx="9">
                  <c:v>0.975</c:v>
                </c:pt>
                <c:pt idx="10">
                  <c:v>0.98</c:v>
                </c:pt>
                <c:pt idx="11">
                  <c:v>0.985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</c:numCache>
            </c:numRef>
          </c:yVal>
          <c:smooth val="1"/>
        </c:ser>
        <c:dLbls/>
        <c:axId val="577093480"/>
        <c:axId val="577097144"/>
      </c:scatterChart>
      <c:valAx>
        <c:axId val="577093480"/>
        <c:scaling>
          <c:orientation val="minMax"/>
          <c:max val="2.1"/>
          <c:min val="0.4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097144"/>
        <c:crosses val="autoZero"/>
        <c:crossBetween val="midCat"/>
        <c:majorUnit val="0.2"/>
      </c:valAx>
      <c:valAx>
        <c:axId val="577097144"/>
        <c:scaling>
          <c:orientation val="minMax"/>
          <c:max val="1.0"/>
          <c:min val="0.8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093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997389033943"/>
          <c:y val="0.689737846015078"/>
          <c:w val="0.446475195822459"/>
          <c:h val="0.09546539379475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70785648718339"/>
          <c:y val="0.0343018563357546"/>
        </c:manualLayout>
      </c:layout>
    </c:title>
    <c:plotArea>
      <c:layout>
        <c:manualLayout>
          <c:layoutTarget val="inner"/>
          <c:xMode val="edge"/>
          <c:yMode val="edge"/>
          <c:x val="0.261096605744125"/>
          <c:y val="0.0286396348260104"/>
          <c:w val="0.657963446475203"/>
          <c:h val="0.871122225957815"/>
        </c:manualLayout>
      </c:layout>
      <c:scatterChart>
        <c:scatterStyle val="smoothMarker"/>
        <c:ser>
          <c:idx val="0"/>
          <c:order val="0"/>
          <c:tx>
            <c:strRef>
              <c:f>pAg!$B$2</c:f>
              <c:strCache>
                <c:ptCount val="1"/>
                <c:pt idx="0">
                  <c:v>pAg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0208448766000193"/>
                  <c:y val="0.248087811954046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pAg!$A$3:$A$47</c:f>
              <c:numCache>
                <c:formatCode>General</c:formatCode>
                <c:ptCount val="45"/>
                <c:pt idx="0">
                  <c:v>0.38</c:v>
                </c:pt>
                <c:pt idx="1">
                  <c:v>0.4</c:v>
                </c:pt>
                <c:pt idx="2">
                  <c:v>0.43</c:v>
                </c:pt>
                <c:pt idx="3">
                  <c:v>0.47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</c:v>
                </c:pt>
                <c:pt idx="14">
                  <c:v>1.0</c:v>
                </c:pt>
                <c:pt idx="15">
                  <c:v>1.04</c:v>
                </c:pt>
                <c:pt idx="16">
                  <c:v>1.08</c:v>
                </c:pt>
                <c:pt idx="17">
                  <c:v>1.12</c:v>
                </c:pt>
                <c:pt idx="18">
                  <c:v>1.16</c:v>
                </c:pt>
                <c:pt idx="19">
                  <c:v>1.205</c:v>
                </c:pt>
                <c:pt idx="20">
                  <c:v>1.25</c:v>
                </c:pt>
                <c:pt idx="21">
                  <c:v>1.29</c:v>
                </c:pt>
                <c:pt idx="22">
                  <c:v>1.33</c:v>
                </c:pt>
                <c:pt idx="23">
                  <c:v>1.37</c:v>
                </c:pt>
                <c:pt idx="24">
                  <c:v>1.41</c:v>
                </c:pt>
                <c:pt idx="25">
                  <c:v>1.455</c:v>
                </c:pt>
                <c:pt idx="26">
                  <c:v>1.5</c:v>
                </c:pt>
                <c:pt idx="27">
                  <c:v>1.545</c:v>
                </c:pt>
                <c:pt idx="28">
                  <c:v>1.59</c:v>
                </c:pt>
                <c:pt idx="29">
                  <c:v>1.63</c:v>
                </c:pt>
                <c:pt idx="30">
                  <c:v>1.67</c:v>
                </c:pt>
                <c:pt idx="31">
                  <c:v>1.71</c:v>
                </c:pt>
                <c:pt idx="32">
                  <c:v>1.75</c:v>
                </c:pt>
                <c:pt idx="33">
                  <c:v>1.79</c:v>
                </c:pt>
                <c:pt idx="34">
                  <c:v>1.83</c:v>
                </c:pt>
                <c:pt idx="35">
                  <c:v>1.87</c:v>
                </c:pt>
                <c:pt idx="36">
                  <c:v>1.91</c:v>
                </c:pt>
                <c:pt idx="37">
                  <c:v>1.955</c:v>
                </c:pt>
                <c:pt idx="38">
                  <c:v>2.0</c:v>
                </c:pt>
                <c:pt idx="39">
                  <c:v>2.5</c:v>
                </c:pt>
                <c:pt idx="40">
                  <c:v>3.0</c:v>
                </c:pt>
                <c:pt idx="41">
                  <c:v>3.5</c:v>
                </c:pt>
                <c:pt idx="42">
                  <c:v>4.0</c:v>
                </c:pt>
                <c:pt idx="43">
                  <c:v>4.5</c:v>
                </c:pt>
                <c:pt idx="44">
                  <c:v>5.0</c:v>
                </c:pt>
              </c:numCache>
            </c:numRef>
          </c:xVal>
          <c:yVal>
            <c:numRef>
              <c:f>pAg!$B$3:$B$47</c:f>
              <c:numCache>
                <c:formatCode>General</c:formatCode>
                <c:ptCount val="45"/>
                <c:pt idx="0">
                  <c:v>0.84</c:v>
                </c:pt>
                <c:pt idx="2">
                  <c:v>0.87</c:v>
                </c:pt>
                <c:pt idx="3">
                  <c:v>0.9</c:v>
                </c:pt>
                <c:pt idx="4">
                  <c:v>0.92</c:v>
                </c:pt>
                <c:pt idx="5">
                  <c:v>0.925</c:v>
                </c:pt>
                <c:pt idx="6">
                  <c:v>0.93</c:v>
                </c:pt>
                <c:pt idx="7">
                  <c:v>0.9375</c:v>
                </c:pt>
                <c:pt idx="8">
                  <c:v>0.945</c:v>
                </c:pt>
                <c:pt idx="9">
                  <c:v>0.9525</c:v>
                </c:pt>
                <c:pt idx="10">
                  <c:v>0.96</c:v>
                </c:pt>
                <c:pt idx="11">
                  <c:v>0.965</c:v>
                </c:pt>
                <c:pt idx="12">
                  <c:v>0.97</c:v>
                </c:pt>
                <c:pt idx="13">
                  <c:v>0.975</c:v>
                </c:pt>
                <c:pt idx="14">
                  <c:v>0.98</c:v>
                </c:pt>
                <c:pt idx="15">
                  <c:v>0.9808</c:v>
                </c:pt>
                <c:pt idx="16">
                  <c:v>0.9816</c:v>
                </c:pt>
                <c:pt idx="17">
                  <c:v>0.9824</c:v>
                </c:pt>
                <c:pt idx="18">
                  <c:v>0.9832</c:v>
                </c:pt>
                <c:pt idx="19">
                  <c:v>0.9841</c:v>
                </c:pt>
                <c:pt idx="20">
                  <c:v>0.985</c:v>
                </c:pt>
                <c:pt idx="21">
                  <c:v>0.9858</c:v>
                </c:pt>
                <c:pt idx="22">
                  <c:v>0.9866</c:v>
                </c:pt>
                <c:pt idx="23">
                  <c:v>0.9874</c:v>
                </c:pt>
                <c:pt idx="24">
                  <c:v>0.9882</c:v>
                </c:pt>
                <c:pt idx="25">
                  <c:v>0.9891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</c:numCache>
            </c:numRef>
          </c:yVal>
          <c:smooth val="1"/>
        </c:ser>
        <c:dLbls/>
        <c:axId val="577148696"/>
        <c:axId val="577152312"/>
      </c:scatterChart>
      <c:valAx>
        <c:axId val="577148696"/>
        <c:scaling>
          <c:orientation val="minMax"/>
          <c:max val="2.1"/>
          <c:min val="0.4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152312"/>
        <c:crosses val="autoZero"/>
        <c:crossBetween val="midCat"/>
        <c:majorUnit val="0.2"/>
      </c:valAx>
      <c:valAx>
        <c:axId val="577152312"/>
        <c:scaling>
          <c:orientation val="minMax"/>
          <c:max val="1.0"/>
          <c:min val="0.86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148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4115683913852"/>
          <c:y val="0.66754256353549"/>
          <c:w val="0.446475195822459"/>
          <c:h val="0.09546539379475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261096605744125"/>
          <c:y val="0.0286396348260104"/>
          <c:w val="0.657963446475202"/>
          <c:h val="0.871122225957815"/>
        </c:manualLayout>
      </c:layout>
      <c:scatterChart>
        <c:scatterStyle val="smoothMarker"/>
        <c:ser>
          <c:idx val="0"/>
          <c:order val="0"/>
          <c:tx>
            <c:strRef>
              <c:f>pAg!$B$2</c:f>
              <c:strCache>
                <c:ptCount val="1"/>
                <c:pt idx="0">
                  <c:v>pAg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0208448766000193"/>
                  <c:y val="0.248087811954046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pAg!$A$3:$A$47</c:f>
              <c:numCache>
                <c:formatCode>General</c:formatCode>
                <c:ptCount val="45"/>
                <c:pt idx="0">
                  <c:v>0.38</c:v>
                </c:pt>
                <c:pt idx="1">
                  <c:v>0.4</c:v>
                </c:pt>
                <c:pt idx="2">
                  <c:v>0.43</c:v>
                </c:pt>
                <c:pt idx="3">
                  <c:v>0.47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</c:v>
                </c:pt>
                <c:pt idx="14">
                  <c:v>1.0</c:v>
                </c:pt>
                <c:pt idx="15">
                  <c:v>1.04</c:v>
                </c:pt>
                <c:pt idx="16">
                  <c:v>1.08</c:v>
                </c:pt>
                <c:pt idx="17">
                  <c:v>1.12</c:v>
                </c:pt>
                <c:pt idx="18">
                  <c:v>1.16</c:v>
                </c:pt>
                <c:pt idx="19">
                  <c:v>1.205</c:v>
                </c:pt>
                <c:pt idx="20">
                  <c:v>1.25</c:v>
                </c:pt>
                <c:pt idx="21">
                  <c:v>1.29</c:v>
                </c:pt>
                <c:pt idx="22">
                  <c:v>1.33</c:v>
                </c:pt>
                <c:pt idx="23">
                  <c:v>1.37</c:v>
                </c:pt>
                <c:pt idx="24">
                  <c:v>1.41</c:v>
                </c:pt>
                <c:pt idx="25">
                  <c:v>1.455</c:v>
                </c:pt>
                <c:pt idx="26">
                  <c:v>1.5</c:v>
                </c:pt>
                <c:pt idx="27">
                  <c:v>1.545</c:v>
                </c:pt>
                <c:pt idx="28">
                  <c:v>1.59</c:v>
                </c:pt>
                <c:pt idx="29">
                  <c:v>1.63</c:v>
                </c:pt>
                <c:pt idx="30">
                  <c:v>1.67</c:v>
                </c:pt>
                <c:pt idx="31">
                  <c:v>1.71</c:v>
                </c:pt>
                <c:pt idx="32">
                  <c:v>1.75</c:v>
                </c:pt>
                <c:pt idx="33">
                  <c:v>1.79</c:v>
                </c:pt>
                <c:pt idx="34">
                  <c:v>1.83</c:v>
                </c:pt>
                <c:pt idx="35">
                  <c:v>1.87</c:v>
                </c:pt>
                <c:pt idx="36">
                  <c:v>1.91</c:v>
                </c:pt>
                <c:pt idx="37">
                  <c:v>1.955</c:v>
                </c:pt>
                <c:pt idx="38">
                  <c:v>2.0</c:v>
                </c:pt>
                <c:pt idx="39">
                  <c:v>2.5</c:v>
                </c:pt>
                <c:pt idx="40">
                  <c:v>3.0</c:v>
                </c:pt>
                <c:pt idx="41">
                  <c:v>3.5</c:v>
                </c:pt>
                <c:pt idx="42">
                  <c:v>4.0</c:v>
                </c:pt>
                <c:pt idx="43">
                  <c:v>4.5</c:v>
                </c:pt>
                <c:pt idx="44">
                  <c:v>5.0</c:v>
                </c:pt>
              </c:numCache>
            </c:numRef>
          </c:xVal>
          <c:yVal>
            <c:numRef>
              <c:f>pAg!$B$3:$B$47</c:f>
              <c:numCache>
                <c:formatCode>General</c:formatCode>
                <c:ptCount val="45"/>
                <c:pt idx="0">
                  <c:v>0.84</c:v>
                </c:pt>
                <c:pt idx="2">
                  <c:v>0.87</c:v>
                </c:pt>
                <c:pt idx="3">
                  <c:v>0.9</c:v>
                </c:pt>
                <c:pt idx="4">
                  <c:v>0.92</c:v>
                </c:pt>
                <c:pt idx="5">
                  <c:v>0.925</c:v>
                </c:pt>
                <c:pt idx="6">
                  <c:v>0.93</c:v>
                </c:pt>
                <c:pt idx="7">
                  <c:v>0.9375</c:v>
                </c:pt>
                <c:pt idx="8">
                  <c:v>0.945</c:v>
                </c:pt>
                <c:pt idx="9">
                  <c:v>0.9525</c:v>
                </c:pt>
                <c:pt idx="10">
                  <c:v>0.96</c:v>
                </c:pt>
                <c:pt idx="11">
                  <c:v>0.965</c:v>
                </c:pt>
                <c:pt idx="12">
                  <c:v>0.97</c:v>
                </c:pt>
                <c:pt idx="13">
                  <c:v>0.975</c:v>
                </c:pt>
                <c:pt idx="14">
                  <c:v>0.98</c:v>
                </c:pt>
                <c:pt idx="15">
                  <c:v>0.9808</c:v>
                </c:pt>
                <c:pt idx="16">
                  <c:v>0.9816</c:v>
                </c:pt>
                <c:pt idx="17">
                  <c:v>0.9824</c:v>
                </c:pt>
                <c:pt idx="18">
                  <c:v>0.9832</c:v>
                </c:pt>
                <c:pt idx="19">
                  <c:v>0.9841</c:v>
                </c:pt>
                <c:pt idx="20">
                  <c:v>0.985</c:v>
                </c:pt>
                <c:pt idx="21">
                  <c:v>0.9858</c:v>
                </c:pt>
                <c:pt idx="22">
                  <c:v>0.9866</c:v>
                </c:pt>
                <c:pt idx="23">
                  <c:v>0.9874</c:v>
                </c:pt>
                <c:pt idx="24">
                  <c:v>0.9882</c:v>
                </c:pt>
                <c:pt idx="25">
                  <c:v>0.9891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pAg!$C$2</c:f>
              <c:strCache>
                <c:ptCount val="1"/>
                <c:pt idx="0">
                  <c:v>pAu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pAg!$A$3:$A$47</c:f>
              <c:numCache>
                <c:formatCode>General</c:formatCode>
                <c:ptCount val="45"/>
                <c:pt idx="0">
                  <c:v>0.38</c:v>
                </c:pt>
                <c:pt idx="1">
                  <c:v>0.4</c:v>
                </c:pt>
                <c:pt idx="2">
                  <c:v>0.43</c:v>
                </c:pt>
                <c:pt idx="3">
                  <c:v>0.47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</c:v>
                </c:pt>
                <c:pt idx="14">
                  <c:v>1.0</c:v>
                </c:pt>
                <c:pt idx="15">
                  <c:v>1.04</c:v>
                </c:pt>
                <c:pt idx="16">
                  <c:v>1.08</c:v>
                </c:pt>
                <c:pt idx="17">
                  <c:v>1.12</c:v>
                </c:pt>
                <c:pt idx="18">
                  <c:v>1.16</c:v>
                </c:pt>
                <c:pt idx="19">
                  <c:v>1.205</c:v>
                </c:pt>
                <c:pt idx="20">
                  <c:v>1.25</c:v>
                </c:pt>
                <c:pt idx="21">
                  <c:v>1.29</c:v>
                </c:pt>
                <c:pt idx="22">
                  <c:v>1.33</c:v>
                </c:pt>
                <c:pt idx="23">
                  <c:v>1.37</c:v>
                </c:pt>
                <c:pt idx="24">
                  <c:v>1.41</c:v>
                </c:pt>
                <c:pt idx="25">
                  <c:v>1.455</c:v>
                </c:pt>
                <c:pt idx="26">
                  <c:v>1.5</c:v>
                </c:pt>
                <c:pt idx="27">
                  <c:v>1.545</c:v>
                </c:pt>
                <c:pt idx="28">
                  <c:v>1.59</c:v>
                </c:pt>
                <c:pt idx="29">
                  <c:v>1.63</c:v>
                </c:pt>
                <c:pt idx="30">
                  <c:v>1.67</c:v>
                </c:pt>
                <c:pt idx="31">
                  <c:v>1.71</c:v>
                </c:pt>
                <c:pt idx="32">
                  <c:v>1.75</c:v>
                </c:pt>
                <c:pt idx="33">
                  <c:v>1.79</c:v>
                </c:pt>
                <c:pt idx="34">
                  <c:v>1.83</c:v>
                </c:pt>
                <c:pt idx="35">
                  <c:v>1.87</c:v>
                </c:pt>
                <c:pt idx="36">
                  <c:v>1.91</c:v>
                </c:pt>
                <c:pt idx="37">
                  <c:v>1.955</c:v>
                </c:pt>
                <c:pt idx="38">
                  <c:v>2.0</c:v>
                </c:pt>
                <c:pt idx="39">
                  <c:v>2.5</c:v>
                </c:pt>
                <c:pt idx="40">
                  <c:v>3.0</c:v>
                </c:pt>
                <c:pt idx="41">
                  <c:v>3.5</c:v>
                </c:pt>
                <c:pt idx="42">
                  <c:v>4.0</c:v>
                </c:pt>
                <c:pt idx="43">
                  <c:v>4.5</c:v>
                </c:pt>
                <c:pt idx="44">
                  <c:v>5.0</c:v>
                </c:pt>
              </c:numCache>
            </c:numRef>
          </c:xVal>
          <c:yVal>
            <c:numRef>
              <c:f>pAg!$C$3:$C$47</c:f>
              <c:numCache>
                <c:formatCode>General</c:formatCode>
                <c:ptCount val="45"/>
                <c:pt idx="4">
                  <c:v>0.42</c:v>
                </c:pt>
                <c:pt idx="5">
                  <c:v>0.67</c:v>
                </c:pt>
                <c:pt idx="6">
                  <c:v>0.92</c:v>
                </c:pt>
                <c:pt idx="7">
                  <c:v>0.945</c:v>
                </c:pt>
                <c:pt idx="8">
                  <c:v>0.97</c:v>
                </c:pt>
                <c:pt idx="9">
                  <c:v>0.975</c:v>
                </c:pt>
                <c:pt idx="10">
                  <c:v>0.98</c:v>
                </c:pt>
                <c:pt idx="11">
                  <c:v>0.985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</c:numCache>
            </c:numRef>
          </c:yVal>
          <c:smooth val="1"/>
        </c:ser>
        <c:dLbls/>
        <c:axId val="576917560"/>
        <c:axId val="576921224"/>
      </c:scatterChart>
      <c:valAx>
        <c:axId val="576917560"/>
        <c:scaling>
          <c:orientation val="minMax"/>
          <c:max val="4.0"/>
          <c:min val="0.4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921224"/>
        <c:crosses val="autoZero"/>
        <c:crossBetween val="midCat"/>
      </c:valAx>
      <c:valAx>
        <c:axId val="576921224"/>
        <c:scaling>
          <c:orientation val="minMax"/>
          <c:max val="1.0"/>
          <c:min val="0.8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917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997389033943"/>
          <c:y val="0.689737846015077"/>
          <c:w val="0.446475195822458"/>
          <c:h val="0.095465393794750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AR coating models</a:t>
            </a:r>
          </a:p>
        </c:rich>
      </c:tx>
      <c:layout>
        <c:manualLayout>
          <c:xMode val="edge"/>
          <c:yMode val="edge"/>
          <c:x val="0.327206268334109"/>
          <c:y val="0.0357142418316046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353059973378"/>
          <c:y val="0.0403121192245149"/>
          <c:w val="0.726103592909508"/>
          <c:h val="0.782835347521225"/>
        </c:manualLayout>
      </c:layout>
      <c:scatterChart>
        <c:scatterStyle val="smoothMarker"/>
        <c:ser>
          <c:idx val="0"/>
          <c:order val="0"/>
          <c:tx>
            <c:strRef>
              <c:f>'AR sim'!$B$5</c:f>
              <c:strCache>
                <c:ptCount val="1"/>
                <c:pt idx="0">
                  <c:v>T per lens ad hoc model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 sim'!$A$10:$A$38</c:f>
              <c:numCache>
                <c:formatCode>General</c:formatCode>
                <c:ptCount val="29"/>
                <c:pt idx="0">
                  <c:v>1.3</c:v>
                </c:pt>
                <c:pt idx="1">
                  <c:v>1.325</c:v>
                </c:pt>
                <c:pt idx="2">
                  <c:v>1.35</c:v>
                </c:pt>
                <c:pt idx="4">
                  <c:v>1.4</c:v>
                </c:pt>
                <c:pt idx="6">
                  <c:v>1.45</c:v>
                </c:pt>
                <c:pt idx="8">
                  <c:v>1.5</c:v>
                </c:pt>
                <c:pt idx="10">
                  <c:v>1.55</c:v>
                </c:pt>
                <c:pt idx="12">
                  <c:v>1.6</c:v>
                </c:pt>
                <c:pt idx="14">
                  <c:v>1.65</c:v>
                </c:pt>
                <c:pt idx="16">
                  <c:v>1.7</c:v>
                </c:pt>
                <c:pt idx="18">
                  <c:v>1.75</c:v>
                </c:pt>
                <c:pt idx="20">
                  <c:v>1.8</c:v>
                </c:pt>
                <c:pt idx="22">
                  <c:v>1.85</c:v>
                </c:pt>
                <c:pt idx="24">
                  <c:v>1.900000000000001</c:v>
                </c:pt>
                <c:pt idx="26">
                  <c:v>1.950000000000001</c:v>
                </c:pt>
                <c:pt idx="28">
                  <c:v>2.0</c:v>
                </c:pt>
              </c:numCache>
            </c:numRef>
          </c:xVal>
          <c:yVal>
            <c:numRef>
              <c:f>'AR sim'!$B$10:$B$38</c:f>
              <c:numCache>
                <c:formatCode>General</c:formatCode>
                <c:ptCount val="29"/>
                <c:pt idx="0">
                  <c:v>0.975</c:v>
                </c:pt>
                <c:pt idx="2">
                  <c:v>0.9825</c:v>
                </c:pt>
                <c:pt idx="4">
                  <c:v>0.9875</c:v>
                </c:pt>
                <c:pt idx="6">
                  <c:v>0.9925</c:v>
                </c:pt>
                <c:pt idx="8">
                  <c:v>0.99</c:v>
                </c:pt>
                <c:pt idx="10">
                  <c:v>0.9875</c:v>
                </c:pt>
                <c:pt idx="12">
                  <c:v>0.9825</c:v>
                </c:pt>
                <c:pt idx="14">
                  <c:v>0.975</c:v>
                </c:pt>
                <c:pt idx="16">
                  <c:v>0.9825</c:v>
                </c:pt>
                <c:pt idx="18">
                  <c:v>0.99</c:v>
                </c:pt>
                <c:pt idx="20">
                  <c:v>0.995</c:v>
                </c:pt>
                <c:pt idx="22">
                  <c:v>0.9925</c:v>
                </c:pt>
                <c:pt idx="24">
                  <c:v>0.9875</c:v>
                </c:pt>
                <c:pt idx="26">
                  <c:v>0.9825</c:v>
                </c:pt>
                <c:pt idx="28">
                  <c:v>0.975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 sim'!$C$5</c:f>
              <c:strCache>
                <c:ptCount val="1"/>
                <c:pt idx="0">
                  <c:v>T per surface ad hoc model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'AR sim'!$A$10:$A$38</c:f>
              <c:numCache>
                <c:formatCode>General</c:formatCode>
                <c:ptCount val="29"/>
                <c:pt idx="0">
                  <c:v>1.3</c:v>
                </c:pt>
                <c:pt idx="1">
                  <c:v>1.325</c:v>
                </c:pt>
                <c:pt idx="2">
                  <c:v>1.35</c:v>
                </c:pt>
                <c:pt idx="4">
                  <c:v>1.4</c:v>
                </c:pt>
                <c:pt idx="6">
                  <c:v>1.45</c:v>
                </c:pt>
                <c:pt idx="8">
                  <c:v>1.5</c:v>
                </c:pt>
                <c:pt idx="10">
                  <c:v>1.55</c:v>
                </c:pt>
                <c:pt idx="12">
                  <c:v>1.6</c:v>
                </c:pt>
                <c:pt idx="14">
                  <c:v>1.65</c:v>
                </c:pt>
                <c:pt idx="16">
                  <c:v>1.7</c:v>
                </c:pt>
                <c:pt idx="18">
                  <c:v>1.75</c:v>
                </c:pt>
                <c:pt idx="20">
                  <c:v>1.8</c:v>
                </c:pt>
                <c:pt idx="22">
                  <c:v>1.85</c:v>
                </c:pt>
                <c:pt idx="24">
                  <c:v>1.900000000000001</c:v>
                </c:pt>
                <c:pt idx="26">
                  <c:v>1.950000000000001</c:v>
                </c:pt>
                <c:pt idx="28">
                  <c:v>2.0</c:v>
                </c:pt>
              </c:numCache>
            </c:numRef>
          </c:xVal>
          <c:yVal>
            <c:numRef>
              <c:f>'AR sim'!$C$10:$C$38</c:f>
              <c:numCache>
                <c:formatCode>0.0000</c:formatCode>
                <c:ptCount val="29"/>
                <c:pt idx="0">
                  <c:v>0.987420882906575</c:v>
                </c:pt>
                <c:pt idx="2">
                  <c:v>0.99121138007995</c:v>
                </c:pt>
                <c:pt idx="4">
                  <c:v>0.99373034571759</c:v>
                </c:pt>
                <c:pt idx="6">
                  <c:v>0.996242942258564</c:v>
                </c:pt>
                <c:pt idx="8">
                  <c:v>0.99498743710662</c:v>
                </c:pt>
                <c:pt idx="10">
                  <c:v>0.99373034571759</c:v>
                </c:pt>
                <c:pt idx="12">
                  <c:v>0.99121138007995</c:v>
                </c:pt>
                <c:pt idx="14">
                  <c:v>0.987420882906575</c:v>
                </c:pt>
                <c:pt idx="16">
                  <c:v>0.99121138007995</c:v>
                </c:pt>
                <c:pt idx="18">
                  <c:v>0.99498743710662</c:v>
                </c:pt>
                <c:pt idx="20">
                  <c:v>0.997496867163</c:v>
                </c:pt>
                <c:pt idx="22">
                  <c:v>0.996242942258564</c:v>
                </c:pt>
                <c:pt idx="24">
                  <c:v>0.99373034571759</c:v>
                </c:pt>
                <c:pt idx="26">
                  <c:v>0.99121138007995</c:v>
                </c:pt>
                <c:pt idx="28">
                  <c:v>0.987420882906575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'AR sim'!$G$5</c:f>
              <c:strCache>
                <c:ptCount val="1"/>
                <c:pt idx="0">
                  <c:v>Shanbhogue loss per surface, derated 50%, shifted 0.1um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C0C0C0"/>
                </a:solidFill>
                <a:prstDash val="sysDash"/>
              </a:ln>
            </c:spPr>
            <c:trendlineType val="poly"/>
            <c:order val="6"/>
            <c:forward val="2.0"/>
            <c:backward val="1.0"/>
            <c:dispRSqr val="1"/>
            <c:dispEq val="1"/>
            <c:trendlineLbl>
              <c:layout>
                <c:manualLayout>
                  <c:x val="0.00710012307488158"/>
                  <c:y val="-0.74091403264244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'AR sim'!$A$8:$A$38</c:f>
              <c:numCache>
                <c:formatCode>General</c:formatCode>
                <c:ptCount val="31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1.325</c:v>
                </c:pt>
                <c:pt idx="4">
                  <c:v>1.35</c:v>
                </c:pt>
                <c:pt idx="6">
                  <c:v>1.4</c:v>
                </c:pt>
                <c:pt idx="8">
                  <c:v>1.45</c:v>
                </c:pt>
                <c:pt idx="10">
                  <c:v>1.5</c:v>
                </c:pt>
                <c:pt idx="12">
                  <c:v>1.55</c:v>
                </c:pt>
                <c:pt idx="14">
                  <c:v>1.6</c:v>
                </c:pt>
                <c:pt idx="16">
                  <c:v>1.65</c:v>
                </c:pt>
                <c:pt idx="18">
                  <c:v>1.7</c:v>
                </c:pt>
                <c:pt idx="20">
                  <c:v>1.75</c:v>
                </c:pt>
                <c:pt idx="22">
                  <c:v>1.8</c:v>
                </c:pt>
                <c:pt idx="24">
                  <c:v>1.85</c:v>
                </c:pt>
                <c:pt idx="26">
                  <c:v>1.900000000000001</c:v>
                </c:pt>
                <c:pt idx="28">
                  <c:v>1.950000000000001</c:v>
                </c:pt>
                <c:pt idx="30">
                  <c:v>2.0</c:v>
                </c:pt>
              </c:numCache>
            </c:numRef>
          </c:xVal>
          <c:yVal>
            <c:numRef>
              <c:f>'AR sim'!$G$8:$G$38</c:f>
              <c:numCache>
                <c:formatCode>0.00000</c:formatCode>
                <c:ptCount val="31"/>
                <c:pt idx="0">
                  <c:v>0.925</c:v>
                </c:pt>
                <c:pt idx="1">
                  <c:v>0.9625</c:v>
                </c:pt>
                <c:pt idx="2">
                  <c:v>0.979</c:v>
                </c:pt>
                <c:pt idx="3" formatCode="General">
                  <c:v>0.9835</c:v>
                </c:pt>
                <c:pt idx="4">
                  <c:v>0.988</c:v>
                </c:pt>
                <c:pt idx="5" formatCode="General">
                  <c:v>0.991</c:v>
                </c:pt>
                <c:pt idx="6">
                  <c:v>0.994</c:v>
                </c:pt>
                <c:pt idx="7" formatCode="General">
                  <c:v>0.994375</c:v>
                </c:pt>
                <c:pt idx="8">
                  <c:v>0.99475</c:v>
                </c:pt>
                <c:pt idx="9" formatCode="General">
                  <c:v>0.995125</c:v>
                </c:pt>
                <c:pt idx="10">
                  <c:v>0.9955</c:v>
                </c:pt>
                <c:pt idx="11" formatCode="General">
                  <c:v>0.99475</c:v>
                </c:pt>
                <c:pt idx="12">
                  <c:v>0.994</c:v>
                </c:pt>
                <c:pt idx="13" formatCode="General">
                  <c:v>0.99325</c:v>
                </c:pt>
                <c:pt idx="14">
                  <c:v>0.9925</c:v>
                </c:pt>
                <c:pt idx="15" formatCode="General">
                  <c:v>0.99175</c:v>
                </c:pt>
                <c:pt idx="16">
                  <c:v>0.991</c:v>
                </c:pt>
                <c:pt idx="17" formatCode="General">
                  <c:v>0.99175</c:v>
                </c:pt>
                <c:pt idx="18">
                  <c:v>0.9925</c:v>
                </c:pt>
                <c:pt idx="19" formatCode="General">
                  <c:v>0.99325</c:v>
                </c:pt>
                <c:pt idx="20">
                  <c:v>0.994</c:v>
                </c:pt>
                <c:pt idx="21" formatCode="General">
                  <c:v>0.99475</c:v>
                </c:pt>
                <c:pt idx="22">
                  <c:v>0.9955</c:v>
                </c:pt>
                <c:pt idx="23" formatCode="General">
                  <c:v>0.995125</c:v>
                </c:pt>
                <c:pt idx="24">
                  <c:v>0.99475</c:v>
                </c:pt>
                <c:pt idx="25" formatCode="General">
                  <c:v>0.994375</c:v>
                </c:pt>
                <c:pt idx="26">
                  <c:v>0.994</c:v>
                </c:pt>
                <c:pt idx="27" formatCode="General">
                  <c:v>0.99175</c:v>
                </c:pt>
                <c:pt idx="28">
                  <c:v>0.9895</c:v>
                </c:pt>
                <c:pt idx="29" formatCode="General">
                  <c:v>0.98725</c:v>
                </c:pt>
                <c:pt idx="30">
                  <c:v>0.985</c:v>
                </c:pt>
              </c:numCache>
            </c:numRef>
          </c:yVal>
          <c:smooth val="1"/>
        </c:ser>
        <c:dLbls/>
        <c:axId val="576875368"/>
        <c:axId val="576883160"/>
      </c:scatterChart>
      <c:valAx>
        <c:axId val="576875368"/>
        <c:scaling>
          <c:orientation val="minMax"/>
          <c:max val="2.2"/>
          <c:min val="1.1"/>
        </c:scaling>
        <c:axPos val="b"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362132738922341"/>
              <c:y val="0.8621591936898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76883160"/>
        <c:crosses val="autoZero"/>
        <c:crossBetween val="midCat"/>
        <c:majorUnit val="0.2"/>
      </c:valAx>
      <c:valAx>
        <c:axId val="576883160"/>
        <c:scaling>
          <c:orientation val="minMax"/>
          <c:max val="1.0"/>
          <c:min val="0.85000000000000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lens transmission</a:t>
                </a:r>
              </a:p>
            </c:rich>
          </c:tx>
          <c:layout>
            <c:manualLayout>
              <c:xMode val="edge"/>
              <c:yMode val="edge"/>
              <c:x val="0.00919117647058825"/>
              <c:y val="0.1655843734747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76875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5588621275287"/>
          <c:y val="0.466840325063398"/>
          <c:w val="0.595588814265864"/>
          <c:h val="0.16254890115328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6437818868147"/>
          <c:y val="0.0968811534353001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'Z087'!$L$12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'Z087'!$A$13:$A$53</c:f>
              <c:numCache>
                <c:formatCode>0.0000</c:formatCode>
                <c:ptCount val="41"/>
                <c:pt idx="0" formatCode="General">
                  <c:v>0.76</c:v>
                </c:pt>
                <c:pt idx="1">
                  <c:v>0.765296167247387</c:v>
                </c:pt>
                <c:pt idx="2">
                  <c:v>0.770592334494774</c:v>
                </c:pt>
                <c:pt idx="3">
                  <c:v>0.77588850174216</c:v>
                </c:pt>
                <c:pt idx="4">
                  <c:v>0.781184668989547</c:v>
                </c:pt>
                <c:pt idx="5">
                  <c:v>0.786480836236934</c:v>
                </c:pt>
                <c:pt idx="6">
                  <c:v>0.791777003484321</c:v>
                </c:pt>
                <c:pt idx="7">
                  <c:v>0.797073170731707</c:v>
                </c:pt>
                <c:pt idx="8">
                  <c:v>0.802369337979094</c:v>
                </c:pt>
                <c:pt idx="9">
                  <c:v>0.807665505226481</c:v>
                </c:pt>
                <c:pt idx="10">
                  <c:v>0.812961672473868</c:v>
                </c:pt>
                <c:pt idx="11">
                  <c:v>0.818257839721255</c:v>
                </c:pt>
                <c:pt idx="12">
                  <c:v>0.823554006968642</c:v>
                </c:pt>
                <c:pt idx="13">
                  <c:v>0.828850174216028</c:v>
                </c:pt>
                <c:pt idx="14">
                  <c:v>0.834146341463415</c:v>
                </c:pt>
                <c:pt idx="15">
                  <c:v>0.839442508710802</c:v>
                </c:pt>
                <c:pt idx="16">
                  <c:v>0.844738675958189</c:v>
                </c:pt>
                <c:pt idx="17">
                  <c:v>0.850034843205575</c:v>
                </c:pt>
                <c:pt idx="18">
                  <c:v>0.855331010452962</c:v>
                </c:pt>
                <c:pt idx="19">
                  <c:v>0.860627177700349</c:v>
                </c:pt>
                <c:pt idx="20">
                  <c:v>0.865923344947736</c:v>
                </c:pt>
                <c:pt idx="21">
                  <c:v>0.871219512195123</c:v>
                </c:pt>
                <c:pt idx="22">
                  <c:v>0.876515679442509</c:v>
                </c:pt>
                <c:pt idx="23">
                  <c:v>0.881811846689896</c:v>
                </c:pt>
                <c:pt idx="24">
                  <c:v>0.887108013937283</c:v>
                </c:pt>
                <c:pt idx="25">
                  <c:v>0.89240418118467</c:v>
                </c:pt>
                <c:pt idx="26">
                  <c:v>0.897700348432057</c:v>
                </c:pt>
                <c:pt idx="27">
                  <c:v>0.902996515679443</c:v>
                </c:pt>
                <c:pt idx="28">
                  <c:v>0.90829268292683</c:v>
                </c:pt>
                <c:pt idx="29">
                  <c:v>0.913588850174217</c:v>
                </c:pt>
                <c:pt idx="30">
                  <c:v>0.918885017421604</c:v>
                </c:pt>
                <c:pt idx="31">
                  <c:v>0.924181184668991</c:v>
                </c:pt>
                <c:pt idx="32">
                  <c:v>0.929477351916377</c:v>
                </c:pt>
                <c:pt idx="33">
                  <c:v>0.934773519163764</c:v>
                </c:pt>
                <c:pt idx="34">
                  <c:v>0.940069686411151</c:v>
                </c:pt>
                <c:pt idx="35">
                  <c:v>0.945365853658538</c:v>
                </c:pt>
                <c:pt idx="36">
                  <c:v>0.950662020905925</c:v>
                </c:pt>
                <c:pt idx="37">
                  <c:v>0.955958188153311</c:v>
                </c:pt>
                <c:pt idx="38">
                  <c:v>0.961254355400698</c:v>
                </c:pt>
                <c:pt idx="39">
                  <c:v>0.966550522648085</c:v>
                </c:pt>
                <c:pt idx="40">
                  <c:v>0.971846689895472</c:v>
                </c:pt>
              </c:numCache>
            </c:numRef>
          </c:xVal>
          <c:yVal>
            <c:numRef>
              <c:f>'Z087'!$L$13:$L$53</c:f>
              <c:numCache>
                <c:formatCode>0.000</c:formatCode>
                <c:ptCount val="41"/>
                <c:pt idx="0">
                  <c:v>0.467159740282681</c:v>
                </c:pt>
                <c:pt idx="1">
                  <c:v>1.118082523981647</c:v>
                </c:pt>
                <c:pt idx="2">
                  <c:v>1.76172758351816</c:v>
                </c:pt>
                <c:pt idx="3">
                  <c:v>1.753349322254054</c:v>
                </c:pt>
                <c:pt idx="4">
                  <c:v>2.098014747198588</c:v>
                </c:pt>
                <c:pt idx="5">
                  <c:v>2.088715927455629</c:v>
                </c:pt>
                <c:pt idx="6">
                  <c:v>2.082306362824065</c:v>
                </c:pt>
                <c:pt idx="7">
                  <c:v>2.08119656884068</c:v>
                </c:pt>
                <c:pt idx="8">
                  <c:v>2.079749934782166</c:v>
                </c:pt>
                <c:pt idx="9">
                  <c:v>2.078549238755556</c:v>
                </c:pt>
                <c:pt idx="10">
                  <c:v>2.076641293267339</c:v>
                </c:pt>
                <c:pt idx="11">
                  <c:v>2.074379267138346</c:v>
                </c:pt>
                <c:pt idx="12">
                  <c:v>2.073095356125666</c:v>
                </c:pt>
                <c:pt idx="13">
                  <c:v>2.070863375306423</c:v>
                </c:pt>
                <c:pt idx="14">
                  <c:v>2.067728941056378</c:v>
                </c:pt>
                <c:pt idx="15">
                  <c:v>2.066285912532117</c:v>
                </c:pt>
                <c:pt idx="16">
                  <c:v>2.06353221241691</c:v>
                </c:pt>
                <c:pt idx="17">
                  <c:v>2.062216068691809</c:v>
                </c:pt>
                <c:pt idx="18">
                  <c:v>2.062172786278507</c:v>
                </c:pt>
                <c:pt idx="19">
                  <c:v>2.060798983200472</c:v>
                </c:pt>
                <c:pt idx="20">
                  <c:v>2.060030943314116</c:v>
                </c:pt>
                <c:pt idx="21">
                  <c:v>2.057713722069627</c:v>
                </c:pt>
                <c:pt idx="22">
                  <c:v>2.055888136754993</c:v>
                </c:pt>
                <c:pt idx="23">
                  <c:v>2.055455209212085</c:v>
                </c:pt>
                <c:pt idx="24">
                  <c:v>2.053839664272921</c:v>
                </c:pt>
                <c:pt idx="25">
                  <c:v>2.051948747052132</c:v>
                </c:pt>
                <c:pt idx="26">
                  <c:v>2.050549426880147</c:v>
                </c:pt>
                <c:pt idx="27">
                  <c:v>2.048517272266146</c:v>
                </c:pt>
                <c:pt idx="28">
                  <c:v>2.047475330274719</c:v>
                </c:pt>
                <c:pt idx="29">
                  <c:v>2.046770162265865</c:v>
                </c:pt>
                <c:pt idx="30">
                  <c:v>2.04585607478913</c:v>
                </c:pt>
                <c:pt idx="31">
                  <c:v>2.04465003475075</c:v>
                </c:pt>
                <c:pt idx="32">
                  <c:v>2.043488288860042</c:v>
                </c:pt>
                <c:pt idx="33">
                  <c:v>2.042150029450533</c:v>
                </c:pt>
                <c:pt idx="34">
                  <c:v>2.040491377716688</c:v>
                </c:pt>
                <c:pt idx="35">
                  <c:v>2.039709048187603</c:v>
                </c:pt>
                <c:pt idx="36">
                  <c:v>2.038487457704809</c:v>
                </c:pt>
                <c:pt idx="37">
                  <c:v>2.037620295787284</c:v>
                </c:pt>
                <c:pt idx="38">
                  <c:v>1.906200355076329</c:v>
                </c:pt>
                <c:pt idx="39">
                  <c:v>1.905504293291896</c:v>
                </c:pt>
                <c:pt idx="40">
                  <c:v>1.418868419159083</c:v>
                </c:pt>
              </c:numCache>
            </c:numRef>
          </c:yVal>
        </c:ser>
        <c:dLbls/>
        <c:axId val="567544776"/>
        <c:axId val="567551496"/>
      </c:scatterChart>
      <c:valAx>
        <c:axId val="567544776"/>
        <c:scaling>
          <c:orientation val="minMax"/>
          <c:min val="0.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551496"/>
        <c:crosses val="autoZero"/>
        <c:crossBetween val="midCat"/>
      </c:valAx>
      <c:valAx>
        <c:axId val="567551496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7544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Loss/surface, baseline vs NIRCAM actual</a:t>
            </a:r>
          </a:p>
        </c:rich>
      </c:tx>
      <c:layout>
        <c:manualLayout>
          <c:xMode val="edge"/>
          <c:yMode val="edge"/>
          <c:x val="0.131291258176975"/>
          <c:y val="0.025345622119815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984844032974"/>
          <c:y val="0.324884792626731"/>
          <c:w val="0.6892786358027"/>
          <c:h val="0.543778801843318"/>
        </c:manualLayout>
      </c:layout>
      <c:scatterChart>
        <c:scatterStyle val="lineMarker"/>
        <c:ser>
          <c:idx val="0"/>
          <c:order val="0"/>
          <c:tx>
            <c:strRef>
              <c:f>'AR sim'!$AG$38</c:f>
              <c:strCache>
                <c:ptCount val="1"/>
                <c:pt idx="0">
                  <c:v>loss/surface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3"/>
            <c:marker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  <a:prstDash val="solid"/>
                </a:ln>
              </c:spPr>
            </c:marker>
          </c:dPt>
          <c:dPt>
            <c:idx val="7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</c:dPt>
          <c:dPt>
            <c:idx val="8"/>
            <c:marker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</c:dPt>
          <c:xVal>
            <c:numRef>
              <c:f>'AR sim'!$AE$39:$AE$47</c:f>
              <c:numCache>
                <c:formatCode>0.00</c:formatCode>
                <c:ptCount val="9"/>
                <c:pt idx="0">
                  <c:v>1.172413793103448</c:v>
                </c:pt>
                <c:pt idx="1">
                  <c:v>1.172413793103448</c:v>
                </c:pt>
                <c:pt idx="2">
                  <c:v>0.875</c:v>
                </c:pt>
                <c:pt idx="3">
                  <c:v>0.424242424242424</c:v>
                </c:pt>
                <c:pt idx="4">
                  <c:v>0.5</c:v>
                </c:pt>
                <c:pt idx="5">
                  <c:v>0.580645161290323</c:v>
                </c:pt>
                <c:pt idx="6">
                  <c:v>0.666666666666667</c:v>
                </c:pt>
                <c:pt idx="7">
                  <c:v>0.580645161290323</c:v>
                </c:pt>
                <c:pt idx="8">
                  <c:v>0.5</c:v>
                </c:pt>
              </c:numCache>
            </c:numRef>
          </c:xVal>
          <c:yVal>
            <c:numRef>
              <c:f>'AR sim'!$AG$39:$AG$47</c:f>
              <c:numCache>
                <c:formatCode>0.000</c:formatCode>
                <c:ptCount val="9"/>
                <c:pt idx="0">
                  <c:v>1.65227116418583</c:v>
                </c:pt>
                <c:pt idx="1">
                  <c:v>1.590597372058687</c:v>
                </c:pt>
                <c:pt idx="2">
                  <c:v>1.6583123951777</c:v>
                </c:pt>
                <c:pt idx="3" formatCode="General">
                  <c:v>0.75</c:v>
                </c:pt>
                <c:pt idx="7" formatCode="General">
                  <c:v>1.259999999999994</c:v>
                </c:pt>
                <c:pt idx="8">
                  <c:v>0.970588235294134</c:v>
                </c:pt>
              </c:numCache>
            </c:numRef>
          </c:yVal>
        </c:ser>
        <c:ser>
          <c:idx val="1"/>
          <c:order val="1"/>
          <c:tx>
            <c:strRef>
              <c:f>'AR sim'!$AI$38</c:f>
              <c:strCache>
                <c:ptCount val="1"/>
                <c:pt idx="0">
                  <c:v>loss model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 sim'!$AE$48:$AE$49</c:f>
              <c:numCache>
                <c:formatCode>0.00</c:formatCode>
                <c:ptCount val="2"/>
                <c:pt idx="0">
                  <c:v>0.0</c:v>
                </c:pt>
                <c:pt idx="1">
                  <c:v>1.172413793103448</c:v>
                </c:pt>
              </c:numCache>
            </c:numRef>
          </c:xVal>
          <c:yVal>
            <c:numRef>
              <c:f>'AR sim'!$AI$48:$AI$49</c:f>
              <c:numCache>
                <c:formatCode>0.000</c:formatCode>
                <c:ptCount val="2"/>
                <c:pt idx="0">
                  <c:v>0.0</c:v>
                </c:pt>
                <c:pt idx="1">
                  <c:v>2.344827586206896</c:v>
                </c:pt>
              </c:numCache>
            </c:numRef>
          </c:yVal>
        </c:ser>
        <c:dLbls/>
        <c:axId val="576821224"/>
        <c:axId val="576829544"/>
      </c:scatterChart>
      <c:valAx>
        <c:axId val="576821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bandwidth (l_max-l_min)/l_ctr</a:t>
                </a:r>
              </a:p>
            </c:rich>
          </c:tx>
          <c:layout>
            <c:manualLayout>
              <c:xMode val="edge"/>
              <c:yMode val="edge"/>
              <c:x val="0.203501323822489"/>
              <c:y val="0.93087557603687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829544"/>
        <c:crosses val="autoZero"/>
        <c:crossBetween val="midCat"/>
      </c:valAx>
      <c:valAx>
        <c:axId val="576829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loss/surface (%)</a:t>
                </a:r>
              </a:p>
            </c:rich>
          </c:tx>
          <c:layout>
            <c:manualLayout>
              <c:xMode val="edge"/>
              <c:yMode val="edge"/>
              <c:x val="0.0109409190371991"/>
              <c:y val="0.46313364055299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821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442242859688"/>
          <c:y val="0.207373271889401"/>
          <c:w val="0.746171367528736"/>
          <c:h val="0.09216589861751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124731444748499"/>
          <c:y val="0.0806452883147812"/>
          <c:w val="0.653764813854203"/>
          <c:h val="0.787098013952265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 sim'!$E$8:$E$38</c:f>
              <c:numCache>
                <c:formatCode>General</c:formatCode>
                <c:ptCount val="31"/>
                <c:pt idx="2">
                  <c:v>0.0</c:v>
                </c:pt>
                <c:pt idx="3" formatCode="0.00000">
                  <c:v>0.0357142857142857</c:v>
                </c:pt>
                <c:pt idx="4" formatCode="0.0000">
                  <c:v>0.0714285714285714</c:v>
                </c:pt>
                <c:pt idx="5" formatCode="0.00000">
                  <c:v>0.107142857142857</c:v>
                </c:pt>
                <c:pt idx="6" formatCode="0.0000">
                  <c:v>0.142857142857143</c:v>
                </c:pt>
                <c:pt idx="7" formatCode="0.00000">
                  <c:v>0.178571428571429</c:v>
                </c:pt>
                <c:pt idx="8" formatCode="0.0000">
                  <c:v>0.214285714285714</c:v>
                </c:pt>
                <c:pt idx="9" formatCode="0.00000">
                  <c:v>0.25</c:v>
                </c:pt>
                <c:pt idx="10" formatCode="0.0000">
                  <c:v>0.285714285714286</c:v>
                </c:pt>
                <c:pt idx="11" formatCode="0.00000">
                  <c:v>0.321428571428571</c:v>
                </c:pt>
                <c:pt idx="12" formatCode="0.0000">
                  <c:v>0.357142857142857</c:v>
                </c:pt>
                <c:pt idx="13" formatCode="0.00000">
                  <c:v>0.392857142857143</c:v>
                </c:pt>
                <c:pt idx="14" formatCode="0.0000">
                  <c:v>0.428571428571429</c:v>
                </c:pt>
                <c:pt idx="15" formatCode="0.00000">
                  <c:v>0.464285714285714</c:v>
                </c:pt>
                <c:pt idx="16" formatCode="0.0000">
                  <c:v>0.5</c:v>
                </c:pt>
                <c:pt idx="17" formatCode="0.00000">
                  <c:v>0.535714285714286</c:v>
                </c:pt>
                <c:pt idx="18" formatCode="0.0000">
                  <c:v>0.571428571428572</c:v>
                </c:pt>
                <c:pt idx="19" formatCode="0.00000">
                  <c:v>0.607142857142857</c:v>
                </c:pt>
                <c:pt idx="20" formatCode="0.0000">
                  <c:v>0.642857142857143</c:v>
                </c:pt>
                <c:pt idx="21" formatCode="0.00000">
                  <c:v>0.678571428571429</c:v>
                </c:pt>
                <c:pt idx="22" formatCode="0.0000">
                  <c:v>0.714285714285714</c:v>
                </c:pt>
                <c:pt idx="23" formatCode="0.00000">
                  <c:v>0.75</c:v>
                </c:pt>
                <c:pt idx="24" formatCode="0.0000">
                  <c:v>0.785714285714286</c:v>
                </c:pt>
                <c:pt idx="25" formatCode="0.00000">
                  <c:v>0.821428571428572</c:v>
                </c:pt>
                <c:pt idx="26" formatCode="0.0000">
                  <c:v>0.857142857142857</c:v>
                </c:pt>
                <c:pt idx="27" formatCode="0.00000">
                  <c:v>0.892857142857143</c:v>
                </c:pt>
                <c:pt idx="28" formatCode="0.0000">
                  <c:v>0.928571428571429</c:v>
                </c:pt>
                <c:pt idx="29" formatCode="0.00000">
                  <c:v>0.964285714285714</c:v>
                </c:pt>
                <c:pt idx="30" formatCode="0.0000">
                  <c:v>1.0</c:v>
                </c:pt>
              </c:numCache>
            </c:numRef>
          </c:xVal>
          <c:yVal>
            <c:numRef>
              <c:f>'AR sim'!$F$8:$F$38</c:f>
              <c:numCache>
                <c:formatCode>0.0000</c:formatCode>
                <c:ptCount val="31"/>
                <c:pt idx="0">
                  <c:v>0.0749999999999999</c:v>
                </c:pt>
                <c:pt idx="1">
                  <c:v>0.0375</c:v>
                </c:pt>
                <c:pt idx="2">
                  <c:v>0.021</c:v>
                </c:pt>
                <c:pt idx="3" formatCode="General">
                  <c:v>0.0165</c:v>
                </c:pt>
                <c:pt idx="4">
                  <c:v>0.012</c:v>
                </c:pt>
                <c:pt idx="5" formatCode="General">
                  <c:v>0.00900000000000001</c:v>
                </c:pt>
                <c:pt idx="6">
                  <c:v>0.006</c:v>
                </c:pt>
                <c:pt idx="7" formatCode="General">
                  <c:v>0.00562499999999999</c:v>
                </c:pt>
                <c:pt idx="8">
                  <c:v>0.00524999999999998</c:v>
                </c:pt>
                <c:pt idx="9" formatCode="General">
                  <c:v>0.00487499999999996</c:v>
                </c:pt>
                <c:pt idx="10">
                  <c:v>0.00449999999999995</c:v>
                </c:pt>
                <c:pt idx="11" formatCode="General">
                  <c:v>0.00524999999999998</c:v>
                </c:pt>
                <c:pt idx="12">
                  <c:v>0.006</c:v>
                </c:pt>
                <c:pt idx="13" formatCode="General">
                  <c:v>0.00674999999999998</c:v>
                </c:pt>
                <c:pt idx="14">
                  <c:v>0.00749999999999995</c:v>
                </c:pt>
                <c:pt idx="15" formatCode="General">
                  <c:v>0.00824999999999998</c:v>
                </c:pt>
                <c:pt idx="16">
                  <c:v>0.00900000000000001</c:v>
                </c:pt>
                <c:pt idx="17" formatCode="General">
                  <c:v>0.00824999999999998</c:v>
                </c:pt>
                <c:pt idx="18">
                  <c:v>0.00749999999999995</c:v>
                </c:pt>
                <c:pt idx="19" formatCode="General">
                  <c:v>0.00674999999999998</c:v>
                </c:pt>
                <c:pt idx="20">
                  <c:v>0.006</c:v>
                </c:pt>
                <c:pt idx="21" formatCode="General">
                  <c:v>0.00524999999999998</c:v>
                </c:pt>
                <c:pt idx="22">
                  <c:v>0.00449999999999995</c:v>
                </c:pt>
                <c:pt idx="23" formatCode="General">
                  <c:v>0.00487499999999996</c:v>
                </c:pt>
                <c:pt idx="24">
                  <c:v>0.00524999999999998</c:v>
                </c:pt>
                <c:pt idx="25" formatCode="General">
                  <c:v>0.00562499999999999</c:v>
                </c:pt>
                <c:pt idx="26">
                  <c:v>0.006</c:v>
                </c:pt>
                <c:pt idx="27" formatCode="General">
                  <c:v>0.00824999999999998</c:v>
                </c:pt>
                <c:pt idx="28">
                  <c:v>0.0105</c:v>
                </c:pt>
                <c:pt idx="29" formatCode="General">
                  <c:v>0.01275</c:v>
                </c:pt>
                <c:pt idx="30">
                  <c:v>0.015</c:v>
                </c:pt>
              </c:numCache>
            </c:numRef>
          </c:yVal>
          <c:smooth val="1"/>
        </c:ser>
        <c:dLbls/>
        <c:axId val="576733816"/>
        <c:axId val="576737400"/>
      </c:scatterChart>
      <c:valAx>
        <c:axId val="5767338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737400"/>
        <c:crosses val="autoZero"/>
        <c:crossBetween val="midCat"/>
      </c:valAx>
      <c:valAx>
        <c:axId val="576737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733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50718256992"/>
          <c:y val="0.44193616120566"/>
          <c:w val="0.161290774137104"/>
          <c:h val="0.06451612903225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227459016393443"/>
          <c:y val="0.037542662116041"/>
        </c:manualLayout>
      </c:layout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8237704918033"/>
          <c:y val="0.18430034129693"/>
          <c:w val="0.737704918032793"/>
          <c:h val="0.593856655290102"/>
        </c:manualLayout>
      </c:layout>
      <c:scatterChart>
        <c:scatterStyle val="lineMarker"/>
        <c:ser>
          <c:idx val="0"/>
          <c:order val="0"/>
          <c:tx>
            <c:strRef>
              <c:f>'AR sim'!$B$72</c:f>
              <c:strCache>
                <c:ptCount val="1"/>
                <c:pt idx="0">
                  <c:v>NIRI example, T per surface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 sim'!$A$73:$A$102</c:f>
              <c:numCache>
                <c:formatCode>General</c:formatCode>
                <c:ptCount val="30"/>
                <c:pt idx="0">
                  <c:v>0.9</c:v>
                </c:pt>
                <c:pt idx="1">
                  <c:v>0.937931034482759</c:v>
                </c:pt>
                <c:pt idx="2">
                  <c:v>0.975862068965517</c:v>
                </c:pt>
                <c:pt idx="3">
                  <c:v>1.013793103448276</c:v>
                </c:pt>
                <c:pt idx="4">
                  <c:v>1.051724137931034</c:v>
                </c:pt>
                <c:pt idx="5">
                  <c:v>1.089655172413793</c:v>
                </c:pt>
                <c:pt idx="6">
                  <c:v>1.127586206896552</c:v>
                </c:pt>
                <c:pt idx="7">
                  <c:v>1.16551724137931</c:v>
                </c:pt>
                <c:pt idx="8">
                  <c:v>1.203448275862069</c:v>
                </c:pt>
                <c:pt idx="9">
                  <c:v>1.241379310344827</c:v>
                </c:pt>
                <c:pt idx="10">
                  <c:v>1.279310344827586</c:v>
                </c:pt>
                <c:pt idx="11">
                  <c:v>1.317241379310345</c:v>
                </c:pt>
                <c:pt idx="12">
                  <c:v>1.355172413793103</c:v>
                </c:pt>
                <c:pt idx="13">
                  <c:v>1.393103448275862</c:v>
                </c:pt>
                <c:pt idx="14">
                  <c:v>1.43103448275862</c:v>
                </c:pt>
                <c:pt idx="15">
                  <c:v>1.468965517241379</c:v>
                </c:pt>
                <c:pt idx="16">
                  <c:v>1.506896551724137</c:v>
                </c:pt>
                <c:pt idx="17">
                  <c:v>1.544827586206896</c:v>
                </c:pt>
                <c:pt idx="18">
                  <c:v>1.582758620689655</c:v>
                </c:pt>
                <c:pt idx="19">
                  <c:v>1.620689655172413</c:v>
                </c:pt>
                <c:pt idx="20">
                  <c:v>1.658620689655172</c:v>
                </c:pt>
                <c:pt idx="21">
                  <c:v>1.69655172413793</c:v>
                </c:pt>
                <c:pt idx="22">
                  <c:v>1.734482758620689</c:v>
                </c:pt>
                <c:pt idx="23">
                  <c:v>1.772413793103448</c:v>
                </c:pt>
                <c:pt idx="24">
                  <c:v>1.810344827586206</c:v>
                </c:pt>
                <c:pt idx="25">
                  <c:v>1.848275862068965</c:v>
                </c:pt>
                <c:pt idx="26">
                  <c:v>1.886206896551723</c:v>
                </c:pt>
                <c:pt idx="27">
                  <c:v>1.924137931034482</c:v>
                </c:pt>
                <c:pt idx="28">
                  <c:v>1.96206896551724</c:v>
                </c:pt>
                <c:pt idx="29">
                  <c:v>2.0</c:v>
                </c:pt>
              </c:numCache>
            </c:numRef>
          </c:xVal>
          <c:yVal>
            <c:numRef>
              <c:f>'AR sim'!$B$73:$B$102</c:f>
              <c:numCache>
                <c:formatCode>General</c:formatCode>
                <c:ptCount val="30"/>
                <c:pt idx="0">
                  <c:v>0.962448275862069</c:v>
                </c:pt>
                <c:pt idx="1">
                  <c:v>0.962448275862069</c:v>
                </c:pt>
                <c:pt idx="2">
                  <c:v>0.970495073891626</c:v>
                </c:pt>
                <c:pt idx="3">
                  <c:v>0.978541871921182</c:v>
                </c:pt>
                <c:pt idx="4">
                  <c:v>0.983906403940887</c:v>
                </c:pt>
                <c:pt idx="5">
                  <c:v>0.989270935960591</c:v>
                </c:pt>
                <c:pt idx="6">
                  <c:v>0.989941502463054</c:v>
                </c:pt>
                <c:pt idx="7">
                  <c:v>0.990612068965517</c:v>
                </c:pt>
                <c:pt idx="8">
                  <c:v>0.99128263546798</c:v>
                </c:pt>
                <c:pt idx="9">
                  <c:v>0.991953201970443</c:v>
                </c:pt>
                <c:pt idx="10">
                  <c:v>0.990612068965517</c:v>
                </c:pt>
                <c:pt idx="11">
                  <c:v>0.989270935960591</c:v>
                </c:pt>
                <c:pt idx="12">
                  <c:v>0.987929802955665</c:v>
                </c:pt>
                <c:pt idx="13">
                  <c:v>0.986588669950739</c:v>
                </c:pt>
                <c:pt idx="14">
                  <c:v>0.985247536945813</c:v>
                </c:pt>
                <c:pt idx="15">
                  <c:v>0.983906403940887</c:v>
                </c:pt>
                <c:pt idx="16">
                  <c:v>0.985247536945813</c:v>
                </c:pt>
                <c:pt idx="17">
                  <c:v>0.986588669950739</c:v>
                </c:pt>
                <c:pt idx="18">
                  <c:v>0.987929802955665</c:v>
                </c:pt>
                <c:pt idx="19">
                  <c:v>0.989270935960591</c:v>
                </c:pt>
                <c:pt idx="20">
                  <c:v>0.990612068965517</c:v>
                </c:pt>
                <c:pt idx="21">
                  <c:v>0.991953201970443</c:v>
                </c:pt>
                <c:pt idx="22">
                  <c:v>0.99128263546798</c:v>
                </c:pt>
                <c:pt idx="23">
                  <c:v>0.990612068965517</c:v>
                </c:pt>
                <c:pt idx="24">
                  <c:v>0.989941502463054</c:v>
                </c:pt>
                <c:pt idx="25">
                  <c:v>0.989270935960591</c:v>
                </c:pt>
                <c:pt idx="26">
                  <c:v>0.985247536945813</c:v>
                </c:pt>
                <c:pt idx="27">
                  <c:v>0.981224137931035</c:v>
                </c:pt>
                <c:pt idx="28">
                  <c:v>0.977200738916256</c:v>
                </c:pt>
                <c:pt idx="29">
                  <c:v>0.977200738916256</c:v>
                </c:pt>
              </c:numCache>
            </c:numRef>
          </c:yVal>
        </c:ser>
        <c:dLbls/>
        <c:axId val="576597800"/>
        <c:axId val="576601224"/>
      </c:scatterChart>
      <c:valAx>
        <c:axId val="576597800"/>
        <c:scaling>
          <c:orientation val="minMax"/>
          <c:max val="2.2"/>
          <c:min val="0.8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601224"/>
        <c:crosses val="autoZero"/>
        <c:crossBetween val="midCat"/>
        <c:majorUnit val="0.2"/>
      </c:valAx>
      <c:valAx>
        <c:axId val="576601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597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8852459016393"/>
          <c:y val="0.488054607508532"/>
          <c:w val="0.309426229508197"/>
          <c:h val="0.2764505119453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Dichroic model</a:t>
            </a:r>
          </a:p>
        </c:rich>
      </c:tx>
      <c:layout>
        <c:manualLayout>
          <c:xMode val="edge"/>
          <c:yMode val="edge"/>
          <c:x val="0.384616057608184"/>
          <c:y val="0.029239766081871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7051527837552"/>
          <c:y val="0.134503180020978"/>
          <c:w val="0.761219140028952"/>
          <c:h val="0.67446522155447"/>
        </c:manualLayout>
      </c:layout>
      <c:scatterChart>
        <c:scatterStyle val="lineMarker"/>
        <c:ser>
          <c:idx val="0"/>
          <c:order val="0"/>
          <c:tx>
            <c:strRef>
              <c:f>dichroic!$G$4</c:f>
              <c:strCache>
                <c:ptCount val="1"/>
                <c:pt idx="0">
                  <c:v>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dichroic!$F$5:$F$1238</c:f>
              <c:numCache>
                <c:formatCode>General</c:formatCode>
                <c:ptCount val="1234"/>
                <c:pt idx="0">
                  <c:v>0.2</c:v>
                </c:pt>
                <c:pt idx="1">
                  <c:v>0.202</c:v>
                </c:pt>
                <c:pt idx="2">
                  <c:v>0.204</c:v>
                </c:pt>
                <c:pt idx="3">
                  <c:v>0.206</c:v>
                </c:pt>
                <c:pt idx="4">
                  <c:v>0.208</c:v>
                </c:pt>
                <c:pt idx="5">
                  <c:v>0.21</c:v>
                </c:pt>
                <c:pt idx="6">
                  <c:v>0.212</c:v>
                </c:pt>
                <c:pt idx="7">
                  <c:v>0.214</c:v>
                </c:pt>
                <c:pt idx="8">
                  <c:v>0.216</c:v>
                </c:pt>
                <c:pt idx="9">
                  <c:v>0.218</c:v>
                </c:pt>
                <c:pt idx="10">
                  <c:v>0.22</c:v>
                </c:pt>
                <c:pt idx="11">
                  <c:v>0.222</c:v>
                </c:pt>
                <c:pt idx="12">
                  <c:v>0.224</c:v>
                </c:pt>
                <c:pt idx="13">
                  <c:v>0.226</c:v>
                </c:pt>
                <c:pt idx="14">
                  <c:v>0.228</c:v>
                </c:pt>
                <c:pt idx="15">
                  <c:v>0.23</c:v>
                </c:pt>
                <c:pt idx="16">
                  <c:v>0.232</c:v>
                </c:pt>
                <c:pt idx="17">
                  <c:v>0.234</c:v>
                </c:pt>
                <c:pt idx="18">
                  <c:v>0.236</c:v>
                </c:pt>
                <c:pt idx="19">
                  <c:v>0.238</c:v>
                </c:pt>
                <c:pt idx="20">
                  <c:v>0.24</c:v>
                </c:pt>
                <c:pt idx="21">
                  <c:v>0.242</c:v>
                </c:pt>
                <c:pt idx="22">
                  <c:v>0.244</c:v>
                </c:pt>
                <c:pt idx="23">
                  <c:v>0.246</c:v>
                </c:pt>
                <c:pt idx="24">
                  <c:v>0.248</c:v>
                </c:pt>
                <c:pt idx="25">
                  <c:v>0.25</c:v>
                </c:pt>
                <c:pt idx="26">
                  <c:v>0.252</c:v>
                </c:pt>
                <c:pt idx="27">
                  <c:v>0.254</c:v>
                </c:pt>
                <c:pt idx="28">
                  <c:v>0.256</c:v>
                </c:pt>
                <c:pt idx="29">
                  <c:v>0.258</c:v>
                </c:pt>
                <c:pt idx="30">
                  <c:v>0.26</c:v>
                </c:pt>
                <c:pt idx="31">
                  <c:v>0.262</c:v>
                </c:pt>
                <c:pt idx="32">
                  <c:v>0.264</c:v>
                </c:pt>
                <c:pt idx="33">
                  <c:v>0.266</c:v>
                </c:pt>
                <c:pt idx="34">
                  <c:v>0.268</c:v>
                </c:pt>
                <c:pt idx="35">
                  <c:v>0.27</c:v>
                </c:pt>
                <c:pt idx="36">
                  <c:v>0.272</c:v>
                </c:pt>
                <c:pt idx="37">
                  <c:v>0.274</c:v>
                </c:pt>
                <c:pt idx="38">
                  <c:v>0.276</c:v>
                </c:pt>
                <c:pt idx="39">
                  <c:v>0.278</c:v>
                </c:pt>
                <c:pt idx="40">
                  <c:v>0.28</c:v>
                </c:pt>
                <c:pt idx="41">
                  <c:v>0.282</c:v>
                </c:pt>
                <c:pt idx="42">
                  <c:v>0.284</c:v>
                </c:pt>
                <c:pt idx="43">
                  <c:v>0.286</c:v>
                </c:pt>
                <c:pt idx="44">
                  <c:v>0.288</c:v>
                </c:pt>
                <c:pt idx="45">
                  <c:v>0.29</c:v>
                </c:pt>
                <c:pt idx="46">
                  <c:v>0.292</c:v>
                </c:pt>
                <c:pt idx="47">
                  <c:v>0.294</c:v>
                </c:pt>
                <c:pt idx="48">
                  <c:v>0.296</c:v>
                </c:pt>
                <c:pt idx="49">
                  <c:v>0.298</c:v>
                </c:pt>
                <c:pt idx="50">
                  <c:v>0.3</c:v>
                </c:pt>
                <c:pt idx="51">
                  <c:v>0.302</c:v>
                </c:pt>
                <c:pt idx="52">
                  <c:v>0.304</c:v>
                </c:pt>
                <c:pt idx="53">
                  <c:v>0.306</c:v>
                </c:pt>
                <c:pt idx="54">
                  <c:v>0.308</c:v>
                </c:pt>
                <c:pt idx="55">
                  <c:v>0.31</c:v>
                </c:pt>
                <c:pt idx="56">
                  <c:v>0.312</c:v>
                </c:pt>
                <c:pt idx="57">
                  <c:v>0.314</c:v>
                </c:pt>
                <c:pt idx="58">
                  <c:v>0.316</c:v>
                </c:pt>
                <c:pt idx="59">
                  <c:v>0.318</c:v>
                </c:pt>
                <c:pt idx="60">
                  <c:v>0.32</c:v>
                </c:pt>
                <c:pt idx="61">
                  <c:v>0.322</c:v>
                </c:pt>
                <c:pt idx="62">
                  <c:v>0.324</c:v>
                </c:pt>
                <c:pt idx="63">
                  <c:v>0.326</c:v>
                </c:pt>
                <c:pt idx="64">
                  <c:v>0.328</c:v>
                </c:pt>
                <c:pt idx="65">
                  <c:v>0.33</c:v>
                </c:pt>
                <c:pt idx="66">
                  <c:v>0.332</c:v>
                </c:pt>
                <c:pt idx="67">
                  <c:v>0.334</c:v>
                </c:pt>
                <c:pt idx="68">
                  <c:v>0.336</c:v>
                </c:pt>
                <c:pt idx="69">
                  <c:v>0.338</c:v>
                </c:pt>
                <c:pt idx="70">
                  <c:v>0.34</c:v>
                </c:pt>
                <c:pt idx="71">
                  <c:v>0.342</c:v>
                </c:pt>
                <c:pt idx="72">
                  <c:v>0.344</c:v>
                </c:pt>
                <c:pt idx="73">
                  <c:v>0.346</c:v>
                </c:pt>
                <c:pt idx="74">
                  <c:v>0.348</c:v>
                </c:pt>
                <c:pt idx="75">
                  <c:v>0.35</c:v>
                </c:pt>
                <c:pt idx="76">
                  <c:v>0.352</c:v>
                </c:pt>
                <c:pt idx="77">
                  <c:v>0.354</c:v>
                </c:pt>
                <c:pt idx="78">
                  <c:v>0.356</c:v>
                </c:pt>
                <c:pt idx="79">
                  <c:v>0.358</c:v>
                </c:pt>
                <c:pt idx="80">
                  <c:v>0.36</c:v>
                </c:pt>
                <c:pt idx="81">
                  <c:v>0.362</c:v>
                </c:pt>
                <c:pt idx="82">
                  <c:v>0.364</c:v>
                </c:pt>
                <c:pt idx="83">
                  <c:v>0.366</c:v>
                </c:pt>
                <c:pt idx="84">
                  <c:v>0.368</c:v>
                </c:pt>
                <c:pt idx="85">
                  <c:v>0.37</c:v>
                </c:pt>
                <c:pt idx="86">
                  <c:v>0.372</c:v>
                </c:pt>
                <c:pt idx="87">
                  <c:v>0.374</c:v>
                </c:pt>
                <c:pt idx="88">
                  <c:v>0.376</c:v>
                </c:pt>
                <c:pt idx="89">
                  <c:v>0.378</c:v>
                </c:pt>
                <c:pt idx="90">
                  <c:v>0.38</c:v>
                </c:pt>
                <c:pt idx="91">
                  <c:v>0.382</c:v>
                </c:pt>
                <c:pt idx="92">
                  <c:v>0.384</c:v>
                </c:pt>
                <c:pt idx="93">
                  <c:v>0.386</c:v>
                </c:pt>
                <c:pt idx="94">
                  <c:v>0.388</c:v>
                </c:pt>
                <c:pt idx="95">
                  <c:v>0.39</c:v>
                </c:pt>
                <c:pt idx="96">
                  <c:v>0.392</c:v>
                </c:pt>
                <c:pt idx="97">
                  <c:v>0.394</c:v>
                </c:pt>
                <c:pt idx="98">
                  <c:v>0.396</c:v>
                </c:pt>
                <c:pt idx="99">
                  <c:v>0.398</c:v>
                </c:pt>
                <c:pt idx="100">
                  <c:v>0.4</c:v>
                </c:pt>
                <c:pt idx="101">
                  <c:v>0.402</c:v>
                </c:pt>
                <c:pt idx="102">
                  <c:v>0.404</c:v>
                </c:pt>
                <c:pt idx="103">
                  <c:v>0.406</c:v>
                </c:pt>
                <c:pt idx="104">
                  <c:v>0.408</c:v>
                </c:pt>
                <c:pt idx="105">
                  <c:v>0.41</c:v>
                </c:pt>
                <c:pt idx="106">
                  <c:v>0.412</c:v>
                </c:pt>
                <c:pt idx="107">
                  <c:v>0.414</c:v>
                </c:pt>
                <c:pt idx="108">
                  <c:v>0.416</c:v>
                </c:pt>
                <c:pt idx="109">
                  <c:v>0.418</c:v>
                </c:pt>
                <c:pt idx="110">
                  <c:v>0.42</c:v>
                </c:pt>
                <c:pt idx="111">
                  <c:v>0.422</c:v>
                </c:pt>
                <c:pt idx="112">
                  <c:v>0.424</c:v>
                </c:pt>
                <c:pt idx="113">
                  <c:v>0.426</c:v>
                </c:pt>
                <c:pt idx="114">
                  <c:v>0.428</c:v>
                </c:pt>
                <c:pt idx="115">
                  <c:v>0.43</c:v>
                </c:pt>
                <c:pt idx="116">
                  <c:v>0.432</c:v>
                </c:pt>
                <c:pt idx="117">
                  <c:v>0.434</c:v>
                </c:pt>
                <c:pt idx="118">
                  <c:v>0.436</c:v>
                </c:pt>
                <c:pt idx="119">
                  <c:v>0.438</c:v>
                </c:pt>
                <c:pt idx="120">
                  <c:v>0.44</c:v>
                </c:pt>
                <c:pt idx="121">
                  <c:v>0.442</c:v>
                </c:pt>
                <c:pt idx="122">
                  <c:v>0.444</c:v>
                </c:pt>
                <c:pt idx="123">
                  <c:v>0.446</c:v>
                </c:pt>
                <c:pt idx="124">
                  <c:v>0.448</c:v>
                </c:pt>
                <c:pt idx="125">
                  <c:v>0.45</c:v>
                </c:pt>
                <c:pt idx="126">
                  <c:v>0.452</c:v>
                </c:pt>
                <c:pt idx="127">
                  <c:v>0.454</c:v>
                </c:pt>
                <c:pt idx="128">
                  <c:v>0.456</c:v>
                </c:pt>
                <c:pt idx="129">
                  <c:v>0.458</c:v>
                </c:pt>
                <c:pt idx="130">
                  <c:v>0.46</c:v>
                </c:pt>
                <c:pt idx="131">
                  <c:v>0.462</c:v>
                </c:pt>
                <c:pt idx="132">
                  <c:v>0.464</c:v>
                </c:pt>
                <c:pt idx="133">
                  <c:v>0.466</c:v>
                </c:pt>
                <c:pt idx="134">
                  <c:v>0.468</c:v>
                </c:pt>
                <c:pt idx="135">
                  <c:v>0.47</c:v>
                </c:pt>
                <c:pt idx="136">
                  <c:v>0.472</c:v>
                </c:pt>
                <c:pt idx="137">
                  <c:v>0.474</c:v>
                </c:pt>
                <c:pt idx="138">
                  <c:v>0.476</c:v>
                </c:pt>
                <c:pt idx="139">
                  <c:v>0.478</c:v>
                </c:pt>
                <c:pt idx="140">
                  <c:v>0.48</c:v>
                </c:pt>
                <c:pt idx="141">
                  <c:v>0.482</c:v>
                </c:pt>
                <c:pt idx="142">
                  <c:v>0.484</c:v>
                </c:pt>
                <c:pt idx="143">
                  <c:v>0.486</c:v>
                </c:pt>
                <c:pt idx="144">
                  <c:v>0.488</c:v>
                </c:pt>
                <c:pt idx="145">
                  <c:v>0.49</c:v>
                </c:pt>
                <c:pt idx="146">
                  <c:v>0.492</c:v>
                </c:pt>
                <c:pt idx="147">
                  <c:v>0.494</c:v>
                </c:pt>
                <c:pt idx="148">
                  <c:v>0.496</c:v>
                </c:pt>
                <c:pt idx="149">
                  <c:v>0.498</c:v>
                </c:pt>
                <c:pt idx="150">
                  <c:v>0.5</c:v>
                </c:pt>
                <c:pt idx="151">
                  <c:v>0.502</c:v>
                </c:pt>
                <c:pt idx="152">
                  <c:v>0.504</c:v>
                </c:pt>
                <c:pt idx="153">
                  <c:v>0.506</c:v>
                </c:pt>
                <c:pt idx="154">
                  <c:v>0.508</c:v>
                </c:pt>
                <c:pt idx="155">
                  <c:v>0.51</c:v>
                </c:pt>
                <c:pt idx="156">
                  <c:v>0.512</c:v>
                </c:pt>
                <c:pt idx="157">
                  <c:v>0.514</c:v>
                </c:pt>
                <c:pt idx="158">
                  <c:v>0.516</c:v>
                </c:pt>
                <c:pt idx="159">
                  <c:v>0.518</c:v>
                </c:pt>
                <c:pt idx="160">
                  <c:v>0.52</c:v>
                </c:pt>
                <c:pt idx="161">
                  <c:v>0.522</c:v>
                </c:pt>
                <c:pt idx="162">
                  <c:v>0.524</c:v>
                </c:pt>
                <c:pt idx="163">
                  <c:v>0.526</c:v>
                </c:pt>
                <c:pt idx="164">
                  <c:v>0.528</c:v>
                </c:pt>
                <c:pt idx="165">
                  <c:v>0.53</c:v>
                </c:pt>
                <c:pt idx="166">
                  <c:v>0.532</c:v>
                </c:pt>
                <c:pt idx="167">
                  <c:v>0.534</c:v>
                </c:pt>
                <c:pt idx="168">
                  <c:v>0.536</c:v>
                </c:pt>
                <c:pt idx="169">
                  <c:v>0.538</c:v>
                </c:pt>
                <c:pt idx="170">
                  <c:v>0.54</c:v>
                </c:pt>
                <c:pt idx="171">
                  <c:v>0.542</c:v>
                </c:pt>
                <c:pt idx="172">
                  <c:v>0.544</c:v>
                </c:pt>
                <c:pt idx="173">
                  <c:v>0.546</c:v>
                </c:pt>
                <c:pt idx="174">
                  <c:v>0.548</c:v>
                </c:pt>
                <c:pt idx="175">
                  <c:v>0.55</c:v>
                </c:pt>
                <c:pt idx="176">
                  <c:v>0.552</c:v>
                </c:pt>
                <c:pt idx="177">
                  <c:v>0.554</c:v>
                </c:pt>
                <c:pt idx="178">
                  <c:v>0.556</c:v>
                </c:pt>
                <c:pt idx="179">
                  <c:v>0.558</c:v>
                </c:pt>
                <c:pt idx="180">
                  <c:v>0.56</c:v>
                </c:pt>
                <c:pt idx="181">
                  <c:v>0.562</c:v>
                </c:pt>
                <c:pt idx="182">
                  <c:v>0.564</c:v>
                </c:pt>
                <c:pt idx="183">
                  <c:v>0.566</c:v>
                </c:pt>
                <c:pt idx="184">
                  <c:v>0.568</c:v>
                </c:pt>
                <c:pt idx="185">
                  <c:v>0.57</c:v>
                </c:pt>
                <c:pt idx="186">
                  <c:v>0.572</c:v>
                </c:pt>
                <c:pt idx="187">
                  <c:v>0.574</c:v>
                </c:pt>
                <c:pt idx="188">
                  <c:v>0.576</c:v>
                </c:pt>
                <c:pt idx="189">
                  <c:v>0.578</c:v>
                </c:pt>
                <c:pt idx="190">
                  <c:v>0.58</c:v>
                </c:pt>
                <c:pt idx="191">
                  <c:v>0.582</c:v>
                </c:pt>
                <c:pt idx="192">
                  <c:v>0.584</c:v>
                </c:pt>
                <c:pt idx="193">
                  <c:v>0.586</c:v>
                </c:pt>
                <c:pt idx="194">
                  <c:v>0.588</c:v>
                </c:pt>
                <c:pt idx="195">
                  <c:v>0.59</c:v>
                </c:pt>
                <c:pt idx="196">
                  <c:v>0.592</c:v>
                </c:pt>
                <c:pt idx="197">
                  <c:v>0.594</c:v>
                </c:pt>
                <c:pt idx="198">
                  <c:v>0.596</c:v>
                </c:pt>
                <c:pt idx="199">
                  <c:v>0.598</c:v>
                </c:pt>
                <c:pt idx="200">
                  <c:v>0.6</c:v>
                </c:pt>
                <c:pt idx="201">
                  <c:v>0.602</c:v>
                </c:pt>
                <c:pt idx="202">
                  <c:v>0.604</c:v>
                </c:pt>
                <c:pt idx="203">
                  <c:v>0.606</c:v>
                </c:pt>
                <c:pt idx="204">
                  <c:v>0.608</c:v>
                </c:pt>
                <c:pt idx="205">
                  <c:v>0.61</c:v>
                </c:pt>
                <c:pt idx="206">
                  <c:v>0.612</c:v>
                </c:pt>
                <c:pt idx="207">
                  <c:v>0.614</c:v>
                </c:pt>
                <c:pt idx="208">
                  <c:v>0.616</c:v>
                </c:pt>
                <c:pt idx="209">
                  <c:v>0.618</c:v>
                </c:pt>
                <c:pt idx="210">
                  <c:v>0.62</c:v>
                </c:pt>
                <c:pt idx="211">
                  <c:v>0.622</c:v>
                </c:pt>
                <c:pt idx="212">
                  <c:v>0.624</c:v>
                </c:pt>
                <c:pt idx="213">
                  <c:v>0.626</c:v>
                </c:pt>
                <c:pt idx="214">
                  <c:v>0.628</c:v>
                </c:pt>
                <c:pt idx="215">
                  <c:v>0.63</c:v>
                </c:pt>
                <c:pt idx="216">
                  <c:v>0.632</c:v>
                </c:pt>
                <c:pt idx="217">
                  <c:v>0.634</c:v>
                </c:pt>
                <c:pt idx="218">
                  <c:v>0.636</c:v>
                </c:pt>
                <c:pt idx="219">
                  <c:v>0.638</c:v>
                </c:pt>
                <c:pt idx="220">
                  <c:v>0.64</c:v>
                </c:pt>
                <c:pt idx="221">
                  <c:v>0.642</c:v>
                </c:pt>
                <c:pt idx="222">
                  <c:v>0.644</c:v>
                </c:pt>
                <c:pt idx="223">
                  <c:v>0.646</c:v>
                </c:pt>
                <c:pt idx="224">
                  <c:v>0.648</c:v>
                </c:pt>
                <c:pt idx="225">
                  <c:v>0.65</c:v>
                </c:pt>
                <c:pt idx="226">
                  <c:v>0.652</c:v>
                </c:pt>
                <c:pt idx="227">
                  <c:v>0.654</c:v>
                </c:pt>
                <c:pt idx="228">
                  <c:v>0.656</c:v>
                </c:pt>
                <c:pt idx="229">
                  <c:v>0.658</c:v>
                </c:pt>
                <c:pt idx="230">
                  <c:v>0.66</c:v>
                </c:pt>
                <c:pt idx="231">
                  <c:v>0.662</c:v>
                </c:pt>
                <c:pt idx="232">
                  <c:v>0.664</c:v>
                </c:pt>
                <c:pt idx="233">
                  <c:v>0.666</c:v>
                </c:pt>
                <c:pt idx="234">
                  <c:v>0.668</c:v>
                </c:pt>
                <c:pt idx="235">
                  <c:v>0.67</c:v>
                </c:pt>
                <c:pt idx="236">
                  <c:v>0.672</c:v>
                </c:pt>
                <c:pt idx="237">
                  <c:v>0.674</c:v>
                </c:pt>
                <c:pt idx="238">
                  <c:v>0.676</c:v>
                </c:pt>
                <c:pt idx="239">
                  <c:v>0.678</c:v>
                </c:pt>
                <c:pt idx="240">
                  <c:v>0.68</c:v>
                </c:pt>
                <c:pt idx="241">
                  <c:v>0.682</c:v>
                </c:pt>
                <c:pt idx="242">
                  <c:v>0.684</c:v>
                </c:pt>
                <c:pt idx="243">
                  <c:v>0.686</c:v>
                </c:pt>
                <c:pt idx="244">
                  <c:v>0.688</c:v>
                </c:pt>
                <c:pt idx="245">
                  <c:v>0.69</c:v>
                </c:pt>
                <c:pt idx="246">
                  <c:v>0.692</c:v>
                </c:pt>
                <c:pt idx="247">
                  <c:v>0.694</c:v>
                </c:pt>
                <c:pt idx="248">
                  <c:v>0.696</c:v>
                </c:pt>
                <c:pt idx="249">
                  <c:v>0.698</c:v>
                </c:pt>
                <c:pt idx="250">
                  <c:v>0.7</c:v>
                </c:pt>
                <c:pt idx="251">
                  <c:v>0.702</c:v>
                </c:pt>
                <c:pt idx="252">
                  <c:v>0.704</c:v>
                </c:pt>
                <c:pt idx="253">
                  <c:v>0.706</c:v>
                </c:pt>
                <c:pt idx="254">
                  <c:v>0.708</c:v>
                </c:pt>
                <c:pt idx="255">
                  <c:v>0.71</c:v>
                </c:pt>
                <c:pt idx="256">
                  <c:v>0.712</c:v>
                </c:pt>
                <c:pt idx="257">
                  <c:v>0.714</c:v>
                </c:pt>
                <c:pt idx="258">
                  <c:v>0.716</c:v>
                </c:pt>
                <c:pt idx="259">
                  <c:v>0.718</c:v>
                </c:pt>
                <c:pt idx="260">
                  <c:v>0.72</c:v>
                </c:pt>
                <c:pt idx="261">
                  <c:v>0.722</c:v>
                </c:pt>
                <c:pt idx="262">
                  <c:v>0.724</c:v>
                </c:pt>
                <c:pt idx="263">
                  <c:v>0.726</c:v>
                </c:pt>
                <c:pt idx="264">
                  <c:v>0.728</c:v>
                </c:pt>
                <c:pt idx="265">
                  <c:v>0.73</c:v>
                </c:pt>
                <c:pt idx="266">
                  <c:v>0.732</c:v>
                </c:pt>
                <c:pt idx="267">
                  <c:v>0.734</c:v>
                </c:pt>
                <c:pt idx="268">
                  <c:v>0.736</c:v>
                </c:pt>
                <c:pt idx="269">
                  <c:v>0.738</c:v>
                </c:pt>
                <c:pt idx="270">
                  <c:v>0.74</c:v>
                </c:pt>
                <c:pt idx="271">
                  <c:v>0.742</c:v>
                </c:pt>
                <c:pt idx="272">
                  <c:v>0.744</c:v>
                </c:pt>
                <c:pt idx="273">
                  <c:v>0.746</c:v>
                </c:pt>
                <c:pt idx="274">
                  <c:v>0.748</c:v>
                </c:pt>
                <c:pt idx="275">
                  <c:v>0.75</c:v>
                </c:pt>
                <c:pt idx="276">
                  <c:v>0.752</c:v>
                </c:pt>
                <c:pt idx="277">
                  <c:v>0.754</c:v>
                </c:pt>
                <c:pt idx="278">
                  <c:v>0.756</c:v>
                </c:pt>
                <c:pt idx="279">
                  <c:v>0.758</c:v>
                </c:pt>
                <c:pt idx="280">
                  <c:v>0.76</c:v>
                </c:pt>
                <c:pt idx="281">
                  <c:v>0.762</c:v>
                </c:pt>
                <c:pt idx="282">
                  <c:v>0.764</c:v>
                </c:pt>
                <c:pt idx="283">
                  <c:v>0.766</c:v>
                </c:pt>
                <c:pt idx="284">
                  <c:v>0.768</c:v>
                </c:pt>
                <c:pt idx="285">
                  <c:v>0.77</c:v>
                </c:pt>
                <c:pt idx="286">
                  <c:v>0.772</c:v>
                </c:pt>
                <c:pt idx="287">
                  <c:v>0.774</c:v>
                </c:pt>
                <c:pt idx="288">
                  <c:v>0.776</c:v>
                </c:pt>
                <c:pt idx="289">
                  <c:v>0.778</c:v>
                </c:pt>
                <c:pt idx="290">
                  <c:v>0.78</c:v>
                </c:pt>
                <c:pt idx="291">
                  <c:v>0.782</c:v>
                </c:pt>
                <c:pt idx="292">
                  <c:v>0.784</c:v>
                </c:pt>
                <c:pt idx="293">
                  <c:v>0.786</c:v>
                </c:pt>
                <c:pt idx="294">
                  <c:v>0.788</c:v>
                </c:pt>
                <c:pt idx="295">
                  <c:v>0.79</c:v>
                </c:pt>
                <c:pt idx="296">
                  <c:v>0.792</c:v>
                </c:pt>
                <c:pt idx="297">
                  <c:v>0.794</c:v>
                </c:pt>
                <c:pt idx="298">
                  <c:v>0.796</c:v>
                </c:pt>
                <c:pt idx="299">
                  <c:v>0.798</c:v>
                </c:pt>
                <c:pt idx="300">
                  <c:v>0.8</c:v>
                </c:pt>
                <c:pt idx="301">
                  <c:v>0.802</c:v>
                </c:pt>
                <c:pt idx="302">
                  <c:v>0.804</c:v>
                </c:pt>
                <c:pt idx="303">
                  <c:v>0.806</c:v>
                </c:pt>
                <c:pt idx="304">
                  <c:v>0.808</c:v>
                </c:pt>
                <c:pt idx="305">
                  <c:v>0.81</c:v>
                </c:pt>
                <c:pt idx="306">
                  <c:v>0.812</c:v>
                </c:pt>
                <c:pt idx="307">
                  <c:v>0.814</c:v>
                </c:pt>
                <c:pt idx="308">
                  <c:v>0.816</c:v>
                </c:pt>
                <c:pt idx="309">
                  <c:v>0.818</c:v>
                </c:pt>
                <c:pt idx="310">
                  <c:v>0.82</c:v>
                </c:pt>
                <c:pt idx="311">
                  <c:v>0.822</c:v>
                </c:pt>
                <c:pt idx="312">
                  <c:v>0.824</c:v>
                </c:pt>
                <c:pt idx="313">
                  <c:v>0.826</c:v>
                </c:pt>
                <c:pt idx="314">
                  <c:v>0.828</c:v>
                </c:pt>
                <c:pt idx="315">
                  <c:v>0.83</c:v>
                </c:pt>
                <c:pt idx="316">
                  <c:v>0.832</c:v>
                </c:pt>
                <c:pt idx="317">
                  <c:v>0.834</c:v>
                </c:pt>
                <c:pt idx="318">
                  <c:v>0.836</c:v>
                </c:pt>
                <c:pt idx="319">
                  <c:v>0.838</c:v>
                </c:pt>
                <c:pt idx="320">
                  <c:v>0.84</c:v>
                </c:pt>
                <c:pt idx="321">
                  <c:v>0.842</c:v>
                </c:pt>
                <c:pt idx="322">
                  <c:v>0.844</c:v>
                </c:pt>
                <c:pt idx="323">
                  <c:v>0.846</c:v>
                </c:pt>
                <c:pt idx="324">
                  <c:v>0.848</c:v>
                </c:pt>
                <c:pt idx="325">
                  <c:v>0.85</c:v>
                </c:pt>
                <c:pt idx="326">
                  <c:v>0.852</c:v>
                </c:pt>
                <c:pt idx="327">
                  <c:v>0.854</c:v>
                </c:pt>
                <c:pt idx="328">
                  <c:v>0.856</c:v>
                </c:pt>
                <c:pt idx="329">
                  <c:v>0.858</c:v>
                </c:pt>
                <c:pt idx="330">
                  <c:v>0.86</c:v>
                </c:pt>
                <c:pt idx="331">
                  <c:v>0.862</c:v>
                </c:pt>
                <c:pt idx="332">
                  <c:v>0.864</c:v>
                </c:pt>
                <c:pt idx="333">
                  <c:v>0.866</c:v>
                </c:pt>
                <c:pt idx="334">
                  <c:v>0.868</c:v>
                </c:pt>
                <c:pt idx="335">
                  <c:v>0.87</c:v>
                </c:pt>
                <c:pt idx="336">
                  <c:v>0.872</c:v>
                </c:pt>
                <c:pt idx="337">
                  <c:v>0.874</c:v>
                </c:pt>
                <c:pt idx="338">
                  <c:v>0.876</c:v>
                </c:pt>
                <c:pt idx="339">
                  <c:v>0.878</c:v>
                </c:pt>
                <c:pt idx="340">
                  <c:v>0.88</c:v>
                </c:pt>
                <c:pt idx="341">
                  <c:v>0.882</c:v>
                </c:pt>
                <c:pt idx="342">
                  <c:v>0.884</c:v>
                </c:pt>
                <c:pt idx="343">
                  <c:v>0.886</c:v>
                </c:pt>
                <c:pt idx="344">
                  <c:v>0.888</c:v>
                </c:pt>
                <c:pt idx="345">
                  <c:v>0.89</c:v>
                </c:pt>
                <c:pt idx="346">
                  <c:v>0.892</c:v>
                </c:pt>
                <c:pt idx="347">
                  <c:v>0.894</c:v>
                </c:pt>
                <c:pt idx="348">
                  <c:v>0.896</c:v>
                </c:pt>
                <c:pt idx="349">
                  <c:v>0.898</c:v>
                </c:pt>
                <c:pt idx="350">
                  <c:v>0.9</c:v>
                </c:pt>
                <c:pt idx="351">
                  <c:v>0.902</c:v>
                </c:pt>
                <c:pt idx="352">
                  <c:v>0.904</c:v>
                </c:pt>
                <c:pt idx="353">
                  <c:v>0.906</c:v>
                </c:pt>
                <c:pt idx="354">
                  <c:v>0.908</c:v>
                </c:pt>
                <c:pt idx="355">
                  <c:v>0.91</c:v>
                </c:pt>
                <c:pt idx="356">
                  <c:v>0.912</c:v>
                </c:pt>
                <c:pt idx="357">
                  <c:v>0.914</c:v>
                </c:pt>
                <c:pt idx="358" formatCode="0.0000">
                  <c:v>0.915678321678322</c:v>
                </c:pt>
                <c:pt idx="359">
                  <c:v>0.916</c:v>
                </c:pt>
                <c:pt idx="360" formatCode="0.0000">
                  <c:v>0.916902097902098</c:v>
                </c:pt>
                <c:pt idx="361">
                  <c:v>0.918</c:v>
                </c:pt>
                <c:pt idx="362" formatCode="0.0000">
                  <c:v>0.918125874125874</c:v>
                </c:pt>
                <c:pt idx="363" formatCode="0.0000">
                  <c:v>0.91934965034965</c:v>
                </c:pt>
                <c:pt idx="364">
                  <c:v>0.92</c:v>
                </c:pt>
                <c:pt idx="365" formatCode="0.0000">
                  <c:v>0.920573426573426</c:v>
                </c:pt>
                <c:pt idx="366" formatCode="0.0000">
                  <c:v>0.921797202797203</c:v>
                </c:pt>
                <c:pt idx="367">
                  <c:v>0.922</c:v>
                </c:pt>
                <c:pt idx="368" formatCode="0.0000">
                  <c:v>0.923020979020979</c:v>
                </c:pt>
                <c:pt idx="369">
                  <c:v>0.924</c:v>
                </c:pt>
                <c:pt idx="370" formatCode="0.0000">
                  <c:v>0.924244755244755</c:v>
                </c:pt>
                <c:pt idx="371" formatCode="0.0000">
                  <c:v>0.925468531468531</c:v>
                </c:pt>
                <c:pt idx="372">
                  <c:v>0.926</c:v>
                </c:pt>
                <c:pt idx="373" formatCode="0.0000">
                  <c:v>0.926692307692307</c:v>
                </c:pt>
                <c:pt idx="374" formatCode="0.0000">
                  <c:v>0.927916083916084</c:v>
                </c:pt>
                <c:pt idx="375">
                  <c:v>0.928</c:v>
                </c:pt>
                <c:pt idx="376" formatCode="0.0000">
                  <c:v>0.92913986013986</c:v>
                </c:pt>
                <c:pt idx="377">
                  <c:v>0.93</c:v>
                </c:pt>
                <c:pt idx="378" formatCode="0.0000">
                  <c:v>0.930363636363636</c:v>
                </c:pt>
                <c:pt idx="379" formatCode="0.0000">
                  <c:v>0.931587412587412</c:v>
                </c:pt>
                <c:pt idx="380">
                  <c:v>0.932</c:v>
                </c:pt>
                <c:pt idx="381" formatCode="0.0000">
                  <c:v>0.932811188811188</c:v>
                </c:pt>
                <c:pt idx="382">
                  <c:v>0.934</c:v>
                </c:pt>
                <c:pt idx="383" formatCode="0.0000">
                  <c:v>0.934034965034965</c:v>
                </c:pt>
                <c:pt idx="384" formatCode="0.0000">
                  <c:v>0.935258741258741</c:v>
                </c:pt>
                <c:pt idx="385">
                  <c:v>0.936</c:v>
                </c:pt>
                <c:pt idx="386" formatCode="0.0000">
                  <c:v>0.936482517482517</c:v>
                </c:pt>
                <c:pt idx="387" formatCode="0.0000">
                  <c:v>0.937706293706293</c:v>
                </c:pt>
                <c:pt idx="388" formatCode="0.0000">
                  <c:v>0.93893006993007</c:v>
                </c:pt>
                <c:pt idx="389" formatCode="0.0000">
                  <c:v>0.940153846153846</c:v>
                </c:pt>
                <c:pt idx="390" formatCode="0.0000">
                  <c:v>0.941377622377622</c:v>
                </c:pt>
                <c:pt idx="391" formatCode="0.0000">
                  <c:v>0.942601398601398</c:v>
                </c:pt>
                <c:pt idx="392" formatCode="0.0000">
                  <c:v>0.943825174825175</c:v>
                </c:pt>
                <c:pt idx="393" formatCode="0.0000">
                  <c:v>0.945048951048951</c:v>
                </c:pt>
                <c:pt idx="394" formatCode="0.0000">
                  <c:v>0.946272727272727</c:v>
                </c:pt>
                <c:pt idx="395" formatCode="0.0000">
                  <c:v>0.947496503496503</c:v>
                </c:pt>
                <c:pt idx="396" formatCode="0.0000">
                  <c:v>0.94872027972028</c:v>
                </c:pt>
                <c:pt idx="397" formatCode="0.0000">
                  <c:v>0.949944055944056</c:v>
                </c:pt>
                <c:pt idx="398" formatCode="0.0000">
                  <c:v>0.951167832167832</c:v>
                </c:pt>
                <c:pt idx="399" formatCode="0.0000">
                  <c:v>0.952391608391608</c:v>
                </c:pt>
                <c:pt idx="400" formatCode="0.0000">
                  <c:v>0.953615384615385</c:v>
                </c:pt>
                <c:pt idx="401" formatCode="0.0000">
                  <c:v>0.954839160839161</c:v>
                </c:pt>
                <c:pt idx="402" formatCode="0.0000">
                  <c:v>0.956062937062937</c:v>
                </c:pt>
                <c:pt idx="403" formatCode="0.0000">
                  <c:v>0.957286713286713</c:v>
                </c:pt>
                <c:pt idx="404" formatCode="0.0000">
                  <c:v>0.95851048951049</c:v>
                </c:pt>
                <c:pt idx="405" formatCode="0.0000">
                  <c:v>0.959734265734266</c:v>
                </c:pt>
                <c:pt idx="406" formatCode="0.0000">
                  <c:v>0.960958041958042</c:v>
                </c:pt>
                <c:pt idx="407" formatCode="0.0000">
                  <c:v>0.962181818181818</c:v>
                </c:pt>
                <c:pt idx="408" formatCode="0.0000">
                  <c:v>0.963405594405595</c:v>
                </c:pt>
                <c:pt idx="409" formatCode="0.0000">
                  <c:v>0.964629370629371</c:v>
                </c:pt>
                <c:pt idx="410" formatCode="0.0000">
                  <c:v>0.965853146853147</c:v>
                </c:pt>
                <c:pt idx="411" formatCode="0.0000">
                  <c:v>0.967076923076923</c:v>
                </c:pt>
                <c:pt idx="412" formatCode="0.0000">
                  <c:v>0.968300699300699</c:v>
                </c:pt>
                <c:pt idx="413" formatCode="0.0000">
                  <c:v>0.969524475524475</c:v>
                </c:pt>
                <c:pt idx="414" formatCode="0.0000">
                  <c:v>0.970748251748251</c:v>
                </c:pt>
                <c:pt idx="415" formatCode="0.0000">
                  <c:v>0.971972027972028</c:v>
                </c:pt>
                <c:pt idx="416" formatCode="0.0000">
                  <c:v>0.973195804195804</c:v>
                </c:pt>
                <c:pt idx="417" formatCode="0.0000">
                  <c:v>0.97441958041958</c:v>
                </c:pt>
                <c:pt idx="418">
                  <c:v>0.975643356643356</c:v>
                </c:pt>
                <c:pt idx="419">
                  <c:v>0.976867132867133</c:v>
                </c:pt>
                <c:pt idx="420">
                  <c:v>0.978090909090909</c:v>
                </c:pt>
                <c:pt idx="421">
                  <c:v>0.979314685314685</c:v>
                </c:pt>
                <c:pt idx="422">
                  <c:v>0.980538461538461</c:v>
                </c:pt>
                <c:pt idx="423">
                  <c:v>0.981762237762237</c:v>
                </c:pt>
                <c:pt idx="424">
                  <c:v>0.982986013986014</c:v>
                </c:pt>
                <c:pt idx="425">
                  <c:v>0.98420979020979</c:v>
                </c:pt>
                <c:pt idx="426">
                  <c:v>0.985433566433566</c:v>
                </c:pt>
                <c:pt idx="427">
                  <c:v>0.986657342657342</c:v>
                </c:pt>
                <c:pt idx="428">
                  <c:v>0.987881118881119</c:v>
                </c:pt>
                <c:pt idx="429">
                  <c:v>0.989104895104895</c:v>
                </c:pt>
                <c:pt idx="430">
                  <c:v>0.990328671328671</c:v>
                </c:pt>
                <c:pt idx="431">
                  <c:v>0.991552447552447</c:v>
                </c:pt>
                <c:pt idx="432">
                  <c:v>0.992776223776224</c:v>
                </c:pt>
                <c:pt idx="433">
                  <c:v>0.994</c:v>
                </c:pt>
                <c:pt idx="434">
                  <c:v>0.995223776223776</c:v>
                </c:pt>
                <c:pt idx="435">
                  <c:v>0.996447552447552</c:v>
                </c:pt>
                <c:pt idx="436">
                  <c:v>0.997671328671329</c:v>
                </c:pt>
                <c:pt idx="437">
                  <c:v>0.998895104895105</c:v>
                </c:pt>
                <c:pt idx="438">
                  <c:v>1.000118881118881</c:v>
                </c:pt>
                <c:pt idx="439">
                  <c:v>1.001342657342657</c:v>
                </c:pt>
                <c:pt idx="440">
                  <c:v>1.002566433566434</c:v>
                </c:pt>
                <c:pt idx="441">
                  <c:v>1.00379020979021</c:v>
                </c:pt>
                <c:pt idx="442">
                  <c:v>1.005013986013986</c:v>
                </c:pt>
                <c:pt idx="443">
                  <c:v>1.032</c:v>
                </c:pt>
                <c:pt idx="444">
                  <c:v>1.034</c:v>
                </c:pt>
                <c:pt idx="445">
                  <c:v>1.036</c:v>
                </c:pt>
                <c:pt idx="446">
                  <c:v>1.038</c:v>
                </c:pt>
                <c:pt idx="447">
                  <c:v>1.04</c:v>
                </c:pt>
                <c:pt idx="448">
                  <c:v>1.042</c:v>
                </c:pt>
                <c:pt idx="449">
                  <c:v>1.044</c:v>
                </c:pt>
                <c:pt idx="450">
                  <c:v>1.046</c:v>
                </c:pt>
                <c:pt idx="451">
                  <c:v>1.048</c:v>
                </c:pt>
                <c:pt idx="452">
                  <c:v>1.05</c:v>
                </c:pt>
                <c:pt idx="453">
                  <c:v>1.052</c:v>
                </c:pt>
                <c:pt idx="454">
                  <c:v>1.054</c:v>
                </c:pt>
                <c:pt idx="455">
                  <c:v>1.056</c:v>
                </c:pt>
                <c:pt idx="456">
                  <c:v>1.058</c:v>
                </c:pt>
                <c:pt idx="457">
                  <c:v>1.06</c:v>
                </c:pt>
                <c:pt idx="458">
                  <c:v>1.062</c:v>
                </c:pt>
                <c:pt idx="459">
                  <c:v>1.064</c:v>
                </c:pt>
                <c:pt idx="460">
                  <c:v>1.066</c:v>
                </c:pt>
                <c:pt idx="461">
                  <c:v>1.068</c:v>
                </c:pt>
                <c:pt idx="462">
                  <c:v>1.07</c:v>
                </c:pt>
                <c:pt idx="463">
                  <c:v>1.072</c:v>
                </c:pt>
                <c:pt idx="464">
                  <c:v>1.074</c:v>
                </c:pt>
                <c:pt idx="465">
                  <c:v>1.076</c:v>
                </c:pt>
                <c:pt idx="466">
                  <c:v>1.078</c:v>
                </c:pt>
                <c:pt idx="467">
                  <c:v>1.08</c:v>
                </c:pt>
                <c:pt idx="468">
                  <c:v>1.082</c:v>
                </c:pt>
                <c:pt idx="469">
                  <c:v>1.084</c:v>
                </c:pt>
                <c:pt idx="470">
                  <c:v>1.086</c:v>
                </c:pt>
                <c:pt idx="471">
                  <c:v>1.088</c:v>
                </c:pt>
                <c:pt idx="472">
                  <c:v>1.09</c:v>
                </c:pt>
                <c:pt idx="473">
                  <c:v>1.092</c:v>
                </c:pt>
                <c:pt idx="474">
                  <c:v>1.094</c:v>
                </c:pt>
                <c:pt idx="475">
                  <c:v>1.096</c:v>
                </c:pt>
                <c:pt idx="476">
                  <c:v>1.098</c:v>
                </c:pt>
                <c:pt idx="477">
                  <c:v>1.1</c:v>
                </c:pt>
                <c:pt idx="478">
                  <c:v>1.102</c:v>
                </c:pt>
                <c:pt idx="479">
                  <c:v>1.104</c:v>
                </c:pt>
                <c:pt idx="480">
                  <c:v>1.106</c:v>
                </c:pt>
                <c:pt idx="481">
                  <c:v>1.108</c:v>
                </c:pt>
                <c:pt idx="482">
                  <c:v>1.11</c:v>
                </c:pt>
                <c:pt idx="483">
                  <c:v>1.112</c:v>
                </c:pt>
                <c:pt idx="484">
                  <c:v>1.114</c:v>
                </c:pt>
                <c:pt idx="485">
                  <c:v>1.116</c:v>
                </c:pt>
                <c:pt idx="486">
                  <c:v>1.118</c:v>
                </c:pt>
                <c:pt idx="487">
                  <c:v>1.12</c:v>
                </c:pt>
                <c:pt idx="488">
                  <c:v>1.122</c:v>
                </c:pt>
                <c:pt idx="489">
                  <c:v>1.124</c:v>
                </c:pt>
                <c:pt idx="490">
                  <c:v>1.126</c:v>
                </c:pt>
                <c:pt idx="491">
                  <c:v>1.128</c:v>
                </c:pt>
                <c:pt idx="492">
                  <c:v>1.13</c:v>
                </c:pt>
                <c:pt idx="493">
                  <c:v>1.132</c:v>
                </c:pt>
                <c:pt idx="494">
                  <c:v>1.134</c:v>
                </c:pt>
                <c:pt idx="495">
                  <c:v>1.136</c:v>
                </c:pt>
                <c:pt idx="496">
                  <c:v>1.138</c:v>
                </c:pt>
                <c:pt idx="497">
                  <c:v>1.14</c:v>
                </c:pt>
                <c:pt idx="498">
                  <c:v>1.142</c:v>
                </c:pt>
                <c:pt idx="499">
                  <c:v>1.144</c:v>
                </c:pt>
                <c:pt idx="500">
                  <c:v>1.146</c:v>
                </c:pt>
                <c:pt idx="501">
                  <c:v>1.148</c:v>
                </c:pt>
                <c:pt idx="502">
                  <c:v>1.15</c:v>
                </c:pt>
                <c:pt idx="503">
                  <c:v>1.152</c:v>
                </c:pt>
                <c:pt idx="504">
                  <c:v>1.154</c:v>
                </c:pt>
                <c:pt idx="505">
                  <c:v>1.156</c:v>
                </c:pt>
                <c:pt idx="506">
                  <c:v>1.158</c:v>
                </c:pt>
                <c:pt idx="507">
                  <c:v>1.16</c:v>
                </c:pt>
                <c:pt idx="508">
                  <c:v>1.162</c:v>
                </c:pt>
                <c:pt idx="509">
                  <c:v>1.164</c:v>
                </c:pt>
                <c:pt idx="510">
                  <c:v>1.166</c:v>
                </c:pt>
                <c:pt idx="511">
                  <c:v>1.168</c:v>
                </c:pt>
                <c:pt idx="512">
                  <c:v>1.17</c:v>
                </c:pt>
                <c:pt idx="513">
                  <c:v>1.172</c:v>
                </c:pt>
                <c:pt idx="514">
                  <c:v>1.174</c:v>
                </c:pt>
                <c:pt idx="515">
                  <c:v>1.176</c:v>
                </c:pt>
                <c:pt idx="516">
                  <c:v>1.178</c:v>
                </c:pt>
                <c:pt idx="517">
                  <c:v>1.18</c:v>
                </c:pt>
                <c:pt idx="518">
                  <c:v>1.182</c:v>
                </c:pt>
                <c:pt idx="519">
                  <c:v>1.184</c:v>
                </c:pt>
                <c:pt idx="520">
                  <c:v>1.186</c:v>
                </c:pt>
                <c:pt idx="521">
                  <c:v>1.188</c:v>
                </c:pt>
                <c:pt idx="522">
                  <c:v>1.19</c:v>
                </c:pt>
                <c:pt idx="523">
                  <c:v>1.192</c:v>
                </c:pt>
                <c:pt idx="524">
                  <c:v>1.194</c:v>
                </c:pt>
                <c:pt idx="525">
                  <c:v>1.196</c:v>
                </c:pt>
                <c:pt idx="526">
                  <c:v>1.198</c:v>
                </c:pt>
                <c:pt idx="527">
                  <c:v>1.2</c:v>
                </c:pt>
                <c:pt idx="528">
                  <c:v>1.202</c:v>
                </c:pt>
                <c:pt idx="529">
                  <c:v>1.204</c:v>
                </c:pt>
                <c:pt idx="530">
                  <c:v>1.206</c:v>
                </c:pt>
                <c:pt idx="531">
                  <c:v>1.208</c:v>
                </c:pt>
                <c:pt idx="532">
                  <c:v>1.21</c:v>
                </c:pt>
                <c:pt idx="533">
                  <c:v>1.212</c:v>
                </c:pt>
                <c:pt idx="534">
                  <c:v>1.214</c:v>
                </c:pt>
                <c:pt idx="535">
                  <c:v>1.216</c:v>
                </c:pt>
                <c:pt idx="536">
                  <c:v>1.218</c:v>
                </c:pt>
                <c:pt idx="537">
                  <c:v>1.22</c:v>
                </c:pt>
                <c:pt idx="538">
                  <c:v>1.222</c:v>
                </c:pt>
                <c:pt idx="539">
                  <c:v>1.224</c:v>
                </c:pt>
                <c:pt idx="540">
                  <c:v>1.226</c:v>
                </c:pt>
                <c:pt idx="541">
                  <c:v>1.228</c:v>
                </c:pt>
                <c:pt idx="542">
                  <c:v>1.23</c:v>
                </c:pt>
                <c:pt idx="543">
                  <c:v>1.232</c:v>
                </c:pt>
                <c:pt idx="544">
                  <c:v>1.234</c:v>
                </c:pt>
                <c:pt idx="545">
                  <c:v>1.236</c:v>
                </c:pt>
                <c:pt idx="546">
                  <c:v>1.238</c:v>
                </c:pt>
                <c:pt idx="547">
                  <c:v>1.24</c:v>
                </c:pt>
                <c:pt idx="548">
                  <c:v>1.242</c:v>
                </c:pt>
                <c:pt idx="549">
                  <c:v>1.244</c:v>
                </c:pt>
                <c:pt idx="550">
                  <c:v>1.246</c:v>
                </c:pt>
                <c:pt idx="551">
                  <c:v>1.248</c:v>
                </c:pt>
                <c:pt idx="552">
                  <c:v>1.25</c:v>
                </c:pt>
                <c:pt idx="553">
                  <c:v>1.252</c:v>
                </c:pt>
                <c:pt idx="554">
                  <c:v>1.254</c:v>
                </c:pt>
                <c:pt idx="555">
                  <c:v>1.256</c:v>
                </c:pt>
                <c:pt idx="556">
                  <c:v>1.258</c:v>
                </c:pt>
                <c:pt idx="557">
                  <c:v>1.26</c:v>
                </c:pt>
                <c:pt idx="558">
                  <c:v>1.262</c:v>
                </c:pt>
                <c:pt idx="559">
                  <c:v>1.264</c:v>
                </c:pt>
                <c:pt idx="560">
                  <c:v>1.266</c:v>
                </c:pt>
                <c:pt idx="561">
                  <c:v>1.268</c:v>
                </c:pt>
                <c:pt idx="562">
                  <c:v>1.27</c:v>
                </c:pt>
                <c:pt idx="563">
                  <c:v>1.272</c:v>
                </c:pt>
                <c:pt idx="564">
                  <c:v>1.274</c:v>
                </c:pt>
                <c:pt idx="565">
                  <c:v>1.276</c:v>
                </c:pt>
                <c:pt idx="566">
                  <c:v>1.278</c:v>
                </c:pt>
                <c:pt idx="567">
                  <c:v>1.28</c:v>
                </c:pt>
                <c:pt idx="568">
                  <c:v>1.282</c:v>
                </c:pt>
                <c:pt idx="569">
                  <c:v>1.284</c:v>
                </c:pt>
                <c:pt idx="570">
                  <c:v>1.286</c:v>
                </c:pt>
                <c:pt idx="571">
                  <c:v>1.288</c:v>
                </c:pt>
                <c:pt idx="572">
                  <c:v>1.29</c:v>
                </c:pt>
                <c:pt idx="573">
                  <c:v>1.292</c:v>
                </c:pt>
                <c:pt idx="574">
                  <c:v>1.294</c:v>
                </c:pt>
                <c:pt idx="575">
                  <c:v>1.296</c:v>
                </c:pt>
                <c:pt idx="576">
                  <c:v>1.298</c:v>
                </c:pt>
                <c:pt idx="577">
                  <c:v>1.3</c:v>
                </c:pt>
                <c:pt idx="578">
                  <c:v>1.302</c:v>
                </c:pt>
                <c:pt idx="579">
                  <c:v>1.304</c:v>
                </c:pt>
                <c:pt idx="580">
                  <c:v>1.306</c:v>
                </c:pt>
                <c:pt idx="581">
                  <c:v>1.308</c:v>
                </c:pt>
                <c:pt idx="582">
                  <c:v>1.31</c:v>
                </c:pt>
                <c:pt idx="583">
                  <c:v>1.312</c:v>
                </c:pt>
                <c:pt idx="584">
                  <c:v>1.314</c:v>
                </c:pt>
                <c:pt idx="585">
                  <c:v>1.316</c:v>
                </c:pt>
                <c:pt idx="586">
                  <c:v>1.318</c:v>
                </c:pt>
                <c:pt idx="587">
                  <c:v>1.32</c:v>
                </c:pt>
                <c:pt idx="588">
                  <c:v>1.322</c:v>
                </c:pt>
                <c:pt idx="589">
                  <c:v>1.324</c:v>
                </c:pt>
                <c:pt idx="590">
                  <c:v>1.326</c:v>
                </c:pt>
                <c:pt idx="591">
                  <c:v>1.328</c:v>
                </c:pt>
                <c:pt idx="592">
                  <c:v>1.33</c:v>
                </c:pt>
                <c:pt idx="593">
                  <c:v>1.332</c:v>
                </c:pt>
                <c:pt idx="594">
                  <c:v>1.334</c:v>
                </c:pt>
                <c:pt idx="595">
                  <c:v>1.336</c:v>
                </c:pt>
                <c:pt idx="596">
                  <c:v>1.338</c:v>
                </c:pt>
                <c:pt idx="597">
                  <c:v>1.34</c:v>
                </c:pt>
                <c:pt idx="598">
                  <c:v>1.342</c:v>
                </c:pt>
                <c:pt idx="599">
                  <c:v>1.344</c:v>
                </c:pt>
                <c:pt idx="600">
                  <c:v>1.346</c:v>
                </c:pt>
                <c:pt idx="601">
                  <c:v>1.348</c:v>
                </c:pt>
                <c:pt idx="602">
                  <c:v>1.35</c:v>
                </c:pt>
                <c:pt idx="603">
                  <c:v>1.352</c:v>
                </c:pt>
                <c:pt idx="604">
                  <c:v>1.354</c:v>
                </c:pt>
                <c:pt idx="605">
                  <c:v>1.356</c:v>
                </c:pt>
                <c:pt idx="606">
                  <c:v>1.358</c:v>
                </c:pt>
                <c:pt idx="607">
                  <c:v>1.36</c:v>
                </c:pt>
                <c:pt idx="608">
                  <c:v>1.362</c:v>
                </c:pt>
                <c:pt idx="609">
                  <c:v>1.364</c:v>
                </c:pt>
                <c:pt idx="610">
                  <c:v>1.366</c:v>
                </c:pt>
                <c:pt idx="611">
                  <c:v>1.368</c:v>
                </c:pt>
                <c:pt idx="612">
                  <c:v>1.37</c:v>
                </c:pt>
                <c:pt idx="613">
                  <c:v>1.372</c:v>
                </c:pt>
                <c:pt idx="614">
                  <c:v>1.374</c:v>
                </c:pt>
                <c:pt idx="615">
                  <c:v>1.376</c:v>
                </c:pt>
                <c:pt idx="616">
                  <c:v>1.378</c:v>
                </c:pt>
                <c:pt idx="617">
                  <c:v>1.38</c:v>
                </c:pt>
                <c:pt idx="618">
                  <c:v>1.382</c:v>
                </c:pt>
                <c:pt idx="619">
                  <c:v>1.384</c:v>
                </c:pt>
                <c:pt idx="620">
                  <c:v>1.386</c:v>
                </c:pt>
                <c:pt idx="621">
                  <c:v>1.388</c:v>
                </c:pt>
                <c:pt idx="622">
                  <c:v>1.39</c:v>
                </c:pt>
                <c:pt idx="623">
                  <c:v>1.392</c:v>
                </c:pt>
                <c:pt idx="624">
                  <c:v>1.394</c:v>
                </c:pt>
                <c:pt idx="625">
                  <c:v>1.396</c:v>
                </c:pt>
                <c:pt idx="626">
                  <c:v>1.398</c:v>
                </c:pt>
                <c:pt idx="627">
                  <c:v>1.4</c:v>
                </c:pt>
                <c:pt idx="628">
                  <c:v>1.402</c:v>
                </c:pt>
                <c:pt idx="629">
                  <c:v>1.404</c:v>
                </c:pt>
                <c:pt idx="630">
                  <c:v>1.406</c:v>
                </c:pt>
                <c:pt idx="631">
                  <c:v>1.408</c:v>
                </c:pt>
                <c:pt idx="632">
                  <c:v>1.41</c:v>
                </c:pt>
                <c:pt idx="633">
                  <c:v>1.412</c:v>
                </c:pt>
                <c:pt idx="634">
                  <c:v>1.414</c:v>
                </c:pt>
                <c:pt idx="635">
                  <c:v>1.416</c:v>
                </c:pt>
                <c:pt idx="636">
                  <c:v>1.418</c:v>
                </c:pt>
                <c:pt idx="637">
                  <c:v>1.42</c:v>
                </c:pt>
                <c:pt idx="638">
                  <c:v>1.422</c:v>
                </c:pt>
                <c:pt idx="639">
                  <c:v>1.424</c:v>
                </c:pt>
                <c:pt idx="640">
                  <c:v>1.426</c:v>
                </c:pt>
                <c:pt idx="641">
                  <c:v>1.428</c:v>
                </c:pt>
                <c:pt idx="642">
                  <c:v>1.43</c:v>
                </c:pt>
                <c:pt idx="643">
                  <c:v>1.432</c:v>
                </c:pt>
                <c:pt idx="644">
                  <c:v>1.434</c:v>
                </c:pt>
                <c:pt idx="645">
                  <c:v>1.436</c:v>
                </c:pt>
                <c:pt idx="646">
                  <c:v>1.438</c:v>
                </c:pt>
                <c:pt idx="647">
                  <c:v>1.44</c:v>
                </c:pt>
                <c:pt idx="648">
                  <c:v>1.442</c:v>
                </c:pt>
                <c:pt idx="649">
                  <c:v>1.444</c:v>
                </c:pt>
                <c:pt idx="650">
                  <c:v>1.446</c:v>
                </c:pt>
                <c:pt idx="651">
                  <c:v>1.448</c:v>
                </c:pt>
                <c:pt idx="652">
                  <c:v>1.45</c:v>
                </c:pt>
                <c:pt idx="653">
                  <c:v>1.452</c:v>
                </c:pt>
                <c:pt idx="654">
                  <c:v>1.454</c:v>
                </c:pt>
                <c:pt idx="655">
                  <c:v>1.456</c:v>
                </c:pt>
                <c:pt idx="656">
                  <c:v>1.458</c:v>
                </c:pt>
                <c:pt idx="657">
                  <c:v>1.46</c:v>
                </c:pt>
                <c:pt idx="658">
                  <c:v>1.462</c:v>
                </c:pt>
                <c:pt idx="659">
                  <c:v>1.464</c:v>
                </c:pt>
                <c:pt idx="660">
                  <c:v>1.466</c:v>
                </c:pt>
                <c:pt idx="661">
                  <c:v>1.468</c:v>
                </c:pt>
                <c:pt idx="662">
                  <c:v>1.47</c:v>
                </c:pt>
                <c:pt idx="663">
                  <c:v>1.472</c:v>
                </c:pt>
                <c:pt idx="664">
                  <c:v>1.474</c:v>
                </c:pt>
                <c:pt idx="665">
                  <c:v>1.476</c:v>
                </c:pt>
                <c:pt idx="666">
                  <c:v>1.478</c:v>
                </c:pt>
                <c:pt idx="667">
                  <c:v>1.48</c:v>
                </c:pt>
                <c:pt idx="668">
                  <c:v>1.482</c:v>
                </c:pt>
                <c:pt idx="669">
                  <c:v>1.484</c:v>
                </c:pt>
                <c:pt idx="670">
                  <c:v>1.486</c:v>
                </c:pt>
                <c:pt idx="671">
                  <c:v>1.488</c:v>
                </c:pt>
                <c:pt idx="672">
                  <c:v>1.49</c:v>
                </c:pt>
                <c:pt idx="673">
                  <c:v>1.492</c:v>
                </c:pt>
                <c:pt idx="674">
                  <c:v>1.494</c:v>
                </c:pt>
                <c:pt idx="675">
                  <c:v>1.496</c:v>
                </c:pt>
                <c:pt idx="676">
                  <c:v>1.498</c:v>
                </c:pt>
                <c:pt idx="677">
                  <c:v>1.5</c:v>
                </c:pt>
                <c:pt idx="678">
                  <c:v>1.502</c:v>
                </c:pt>
                <c:pt idx="679">
                  <c:v>1.504</c:v>
                </c:pt>
                <c:pt idx="680">
                  <c:v>1.506</c:v>
                </c:pt>
                <c:pt idx="681">
                  <c:v>1.508</c:v>
                </c:pt>
                <c:pt idx="682">
                  <c:v>1.51</c:v>
                </c:pt>
                <c:pt idx="683">
                  <c:v>1.512</c:v>
                </c:pt>
                <c:pt idx="684">
                  <c:v>1.514</c:v>
                </c:pt>
                <c:pt idx="685">
                  <c:v>1.516</c:v>
                </c:pt>
                <c:pt idx="686">
                  <c:v>1.518</c:v>
                </c:pt>
                <c:pt idx="687">
                  <c:v>1.52</c:v>
                </c:pt>
                <c:pt idx="688">
                  <c:v>1.522</c:v>
                </c:pt>
                <c:pt idx="689">
                  <c:v>1.524</c:v>
                </c:pt>
                <c:pt idx="690">
                  <c:v>1.526</c:v>
                </c:pt>
                <c:pt idx="691">
                  <c:v>1.528</c:v>
                </c:pt>
                <c:pt idx="692">
                  <c:v>1.53</c:v>
                </c:pt>
                <c:pt idx="693">
                  <c:v>1.532</c:v>
                </c:pt>
                <c:pt idx="694">
                  <c:v>1.534</c:v>
                </c:pt>
                <c:pt idx="695">
                  <c:v>1.536</c:v>
                </c:pt>
                <c:pt idx="696">
                  <c:v>1.538</c:v>
                </c:pt>
                <c:pt idx="697">
                  <c:v>1.54</c:v>
                </c:pt>
                <c:pt idx="698">
                  <c:v>1.542</c:v>
                </c:pt>
                <c:pt idx="699">
                  <c:v>1.544</c:v>
                </c:pt>
                <c:pt idx="700">
                  <c:v>1.546</c:v>
                </c:pt>
                <c:pt idx="701">
                  <c:v>1.548</c:v>
                </c:pt>
                <c:pt idx="702">
                  <c:v>1.55</c:v>
                </c:pt>
                <c:pt idx="703">
                  <c:v>1.552</c:v>
                </c:pt>
                <c:pt idx="704">
                  <c:v>1.554</c:v>
                </c:pt>
                <c:pt idx="705">
                  <c:v>1.556</c:v>
                </c:pt>
                <c:pt idx="706">
                  <c:v>1.558</c:v>
                </c:pt>
                <c:pt idx="707">
                  <c:v>1.56</c:v>
                </c:pt>
                <c:pt idx="708">
                  <c:v>1.562</c:v>
                </c:pt>
                <c:pt idx="709">
                  <c:v>1.564</c:v>
                </c:pt>
                <c:pt idx="710">
                  <c:v>1.566</c:v>
                </c:pt>
                <c:pt idx="711">
                  <c:v>1.568</c:v>
                </c:pt>
                <c:pt idx="712">
                  <c:v>1.57</c:v>
                </c:pt>
                <c:pt idx="713">
                  <c:v>1.572</c:v>
                </c:pt>
                <c:pt idx="714">
                  <c:v>1.574</c:v>
                </c:pt>
                <c:pt idx="715">
                  <c:v>1.576</c:v>
                </c:pt>
                <c:pt idx="716">
                  <c:v>1.578</c:v>
                </c:pt>
                <c:pt idx="717">
                  <c:v>1.58</c:v>
                </c:pt>
                <c:pt idx="718">
                  <c:v>1.582</c:v>
                </c:pt>
                <c:pt idx="719">
                  <c:v>1.584</c:v>
                </c:pt>
                <c:pt idx="720">
                  <c:v>1.586</c:v>
                </c:pt>
                <c:pt idx="721">
                  <c:v>1.588</c:v>
                </c:pt>
                <c:pt idx="722">
                  <c:v>1.59</c:v>
                </c:pt>
                <c:pt idx="723">
                  <c:v>1.592</c:v>
                </c:pt>
                <c:pt idx="724">
                  <c:v>1.594</c:v>
                </c:pt>
                <c:pt idx="725">
                  <c:v>1.596</c:v>
                </c:pt>
                <c:pt idx="726">
                  <c:v>1.598</c:v>
                </c:pt>
                <c:pt idx="727">
                  <c:v>1.6</c:v>
                </c:pt>
                <c:pt idx="728">
                  <c:v>1.602</c:v>
                </c:pt>
                <c:pt idx="729">
                  <c:v>1.604</c:v>
                </c:pt>
                <c:pt idx="730">
                  <c:v>1.606</c:v>
                </c:pt>
                <c:pt idx="731">
                  <c:v>1.608</c:v>
                </c:pt>
                <c:pt idx="732">
                  <c:v>1.61</c:v>
                </c:pt>
                <c:pt idx="733">
                  <c:v>1.612</c:v>
                </c:pt>
                <c:pt idx="734">
                  <c:v>1.614</c:v>
                </c:pt>
                <c:pt idx="735">
                  <c:v>1.616</c:v>
                </c:pt>
                <c:pt idx="736">
                  <c:v>1.618</c:v>
                </c:pt>
                <c:pt idx="737">
                  <c:v>1.62</c:v>
                </c:pt>
                <c:pt idx="738">
                  <c:v>1.622</c:v>
                </c:pt>
                <c:pt idx="739">
                  <c:v>1.624</c:v>
                </c:pt>
                <c:pt idx="740">
                  <c:v>1.626</c:v>
                </c:pt>
                <c:pt idx="741">
                  <c:v>1.628</c:v>
                </c:pt>
                <c:pt idx="742">
                  <c:v>1.63</c:v>
                </c:pt>
                <c:pt idx="743">
                  <c:v>1.632</c:v>
                </c:pt>
                <c:pt idx="744">
                  <c:v>1.634</c:v>
                </c:pt>
                <c:pt idx="745">
                  <c:v>1.636</c:v>
                </c:pt>
                <c:pt idx="746">
                  <c:v>1.638</c:v>
                </c:pt>
                <c:pt idx="747">
                  <c:v>1.64</c:v>
                </c:pt>
                <c:pt idx="748">
                  <c:v>1.642</c:v>
                </c:pt>
                <c:pt idx="749">
                  <c:v>1.644</c:v>
                </c:pt>
                <c:pt idx="750">
                  <c:v>1.646</c:v>
                </c:pt>
                <c:pt idx="751">
                  <c:v>1.648</c:v>
                </c:pt>
                <c:pt idx="752">
                  <c:v>1.65</c:v>
                </c:pt>
                <c:pt idx="753">
                  <c:v>1.652</c:v>
                </c:pt>
                <c:pt idx="754">
                  <c:v>1.654</c:v>
                </c:pt>
                <c:pt idx="755">
                  <c:v>1.656</c:v>
                </c:pt>
                <c:pt idx="756">
                  <c:v>1.658</c:v>
                </c:pt>
                <c:pt idx="757">
                  <c:v>1.66</c:v>
                </c:pt>
                <c:pt idx="758">
                  <c:v>1.662</c:v>
                </c:pt>
                <c:pt idx="759">
                  <c:v>1.664</c:v>
                </c:pt>
                <c:pt idx="760">
                  <c:v>1.666</c:v>
                </c:pt>
                <c:pt idx="761">
                  <c:v>1.668</c:v>
                </c:pt>
                <c:pt idx="762">
                  <c:v>1.67</c:v>
                </c:pt>
                <c:pt idx="763">
                  <c:v>1.672</c:v>
                </c:pt>
                <c:pt idx="764">
                  <c:v>1.674</c:v>
                </c:pt>
                <c:pt idx="765">
                  <c:v>1.676</c:v>
                </c:pt>
                <c:pt idx="766">
                  <c:v>1.678</c:v>
                </c:pt>
                <c:pt idx="767">
                  <c:v>1.68</c:v>
                </c:pt>
                <c:pt idx="768">
                  <c:v>1.682</c:v>
                </c:pt>
                <c:pt idx="769">
                  <c:v>1.684</c:v>
                </c:pt>
                <c:pt idx="770">
                  <c:v>1.686</c:v>
                </c:pt>
                <c:pt idx="771">
                  <c:v>1.688</c:v>
                </c:pt>
                <c:pt idx="772">
                  <c:v>1.69</c:v>
                </c:pt>
                <c:pt idx="773">
                  <c:v>1.692</c:v>
                </c:pt>
                <c:pt idx="774">
                  <c:v>1.694</c:v>
                </c:pt>
                <c:pt idx="775">
                  <c:v>1.696</c:v>
                </c:pt>
                <c:pt idx="776">
                  <c:v>1.698</c:v>
                </c:pt>
                <c:pt idx="777">
                  <c:v>1.7</c:v>
                </c:pt>
                <c:pt idx="778">
                  <c:v>1.702</c:v>
                </c:pt>
                <c:pt idx="779">
                  <c:v>1.704</c:v>
                </c:pt>
                <c:pt idx="780">
                  <c:v>1.706</c:v>
                </c:pt>
                <c:pt idx="781">
                  <c:v>1.708</c:v>
                </c:pt>
                <c:pt idx="782">
                  <c:v>1.71</c:v>
                </c:pt>
                <c:pt idx="783">
                  <c:v>1.712</c:v>
                </c:pt>
                <c:pt idx="784">
                  <c:v>1.714</c:v>
                </c:pt>
                <c:pt idx="785">
                  <c:v>1.716</c:v>
                </c:pt>
                <c:pt idx="786">
                  <c:v>1.718</c:v>
                </c:pt>
                <c:pt idx="787">
                  <c:v>1.72</c:v>
                </c:pt>
                <c:pt idx="788">
                  <c:v>1.722</c:v>
                </c:pt>
                <c:pt idx="789">
                  <c:v>1.724</c:v>
                </c:pt>
                <c:pt idx="790">
                  <c:v>1.726</c:v>
                </c:pt>
                <c:pt idx="791">
                  <c:v>1.728</c:v>
                </c:pt>
                <c:pt idx="792">
                  <c:v>1.73</c:v>
                </c:pt>
                <c:pt idx="793">
                  <c:v>1.732</c:v>
                </c:pt>
                <c:pt idx="794">
                  <c:v>1.734</c:v>
                </c:pt>
                <c:pt idx="795">
                  <c:v>1.736</c:v>
                </c:pt>
                <c:pt idx="796">
                  <c:v>1.738</c:v>
                </c:pt>
                <c:pt idx="797">
                  <c:v>1.74</c:v>
                </c:pt>
                <c:pt idx="798">
                  <c:v>1.742</c:v>
                </c:pt>
                <c:pt idx="799">
                  <c:v>1.744</c:v>
                </c:pt>
                <c:pt idx="800">
                  <c:v>1.746</c:v>
                </c:pt>
                <c:pt idx="801">
                  <c:v>1.748</c:v>
                </c:pt>
                <c:pt idx="802">
                  <c:v>1.75</c:v>
                </c:pt>
                <c:pt idx="803">
                  <c:v>1.752</c:v>
                </c:pt>
                <c:pt idx="804">
                  <c:v>1.754</c:v>
                </c:pt>
                <c:pt idx="805">
                  <c:v>1.756</c:v>
                </c:pt>
                <c:pt idx="806">
                  <c:v>1.758</c:v>
                </c:pt>
                <c:pt idx="807">
                  <c:v>1.76</c:v>
                </c:pt>
                <c:pt idx="808">
                  <c:v>1.762</c:v>
                </c:pt>
                <c:pt idx="809">
                  <c:v>1.764</c:v>
                </c:pt>
                <c:pt idx="810">
                  <c:v>1.766</c:v>
                </c:pt>
                <c:pt idx="811">
                  <c:v>1.768</c:v>
                </c:pt>
                <c:pt idx="812">
                  <c:v>1.77</c:v>
                </c:pt>
                <c:pt idx="813">
                  <c:v>1.772</c:v>
                </c:pt>
                <c:pt idx="814">
                  <c:v>1.774</c:v>
                </c:pt>
                <c:pt idx="815">
                  <c:v>1.776</c:v>
                </c:pt>
                <c:pt idx="816">
                  <c:v>1.778</c:v>
                </c:pt>
                <c:pt idx="817">
                  <c:v>1.78</c:v>
                </c:pt>
                <c:pt idx="818">
                  <c:v>1.782</c:v>
                </c:pt>
                <c:pt idx="819">
                  <c:v>1.784</c:v>
                </c:pt>
                <c:pt idx="820">
                  <c:v>1.786</c:v>
                </c:pt>
                <c:pt idx="821">
                  <c:v>1.788</c:v>
                </c:pt>
                <c:pt idx="822">
                  <c:v>1.79</c:v>
                </c:pt>
                <c:pt idx="823">
                  <c:v>1.792</c:v>
                </c:pt>
                <c:pt idx="824">
                  <c:v>1.794</c:v>
                </c:pt>
                <c:pt idx="825">
                  <c:v>1.796</c:v>
                </c:pt>
                <c:pt idx="826">
                  <c:v>1.798</c:v>
                </c:pt>
                <c:pt idx="827">
                  <c:v>1.8</c:v>
                </c:pt>
                <c:pt idx="828">
                  <c:v>1.802</c:v>
                </c:pt>
                <c:pt idx="829">
                  <c:v>1.804</c:v>
                </c:pt>
                <c:pt idx="830">
                  <c:v>1.806</c:v>
                </c:pt>
                <c:pt idx="831">
                  <c:v>1.808</c:v>
                </c:pt>
                <c:pt idx="832">
                  <c:v>1.81</c:v>
                </c:pt>
                <c:pt idx="833">
                  <c:v>1.812</c:v>
                </c:pt>
                <c:pt idx="834">
                  <c:v>1.814</c:v>
                </c:pt>
                <c:pt idx="835">
                  <c:v>1.816</c:v>
                </c:pt>
                <c:pt idx="836">
                  <c:v>1.818</c:v>
                </c:pt>
                <c:pt idx="837">
                  <c:v>1.82</c:v>
                </c:pt>
                <c:pt idx="838">
                  <c:v>1.822</c:v>
                </c:pt>
                <c:pt idx="839">
                  <c:v>1.824</c:v>
                </c:pt>
                <c:pt idx="840">
                  <c:v>1.826</c:v>
                </c:pt>
                <c:pt idx="841">
                  <c:v>1.828</c:v>
                </c:pt>
                <c:pt idx="842">
                  <c:v>1.83</c:v>
                </c:pt>
                <c:pt idx="843">
                  <c:v>1.832</c:v>
                </c:pt>
                <c:pt idx="844">
                  <c:v>1.834</c:v>
                </c:pt>
                <c:pt idx="845">
                  <c:v>1.836</c:v>
                </c:pt>
                <c:pt idx="846">
                  <c:v>1.838</c:v>
                </c:pt>
                <c:pt idx="847">
                  <c:v>1.84</c:v>
                </c:pt>
                <c:pt idx="848">
                  <c:v>1.842</c:v>
                </c:pt>
                <c:pt idx="849">
                  <c:v>1.844</c:v>
                </c:pt>
                <c:pt idx="850">
                  <c:v>1.846</c:v>
                </c:pt>
                <c:pt idx="851">
                  <c:v>1.848</c:v>
                </c:pt>
                <c:pt idx="852">
                  <c:v>1.85</c:v>
                </c:pt>
                <c:pt idx="853">
                  <c:v>1.852</c:v>
                </c:pt>
                <c:pt idx="854">
                  <c:v>1.854</c:v>
                </c:pt>
                <c:pt idx="855">
                  <c:v>1.856</c:v>
                </c:pt>
                <c:pt idx="856">
                  <c:v>1.858</c:v>
                </c:pt>
                <c:pt idx="857">
                  <c:v>1.86</c:v>
                </c:pt>
                <c:pt idx="858">
                  <c:v>1.862</c:v>
                </c:pt>
                <c:pt idx="859">
                  <c:v>1.864</c:v>
                </c:pt>
                <c:pt idx="860">
                  <c:v>1.866</c:v>
                </c:pt>
                <c:pt idx="861">
                  <c:v>1.868</c:v>
                </c:pt>
                <c:pt idx="862">
                  <c:v>1.87</c:v>
                </c:pt>
                <c:pt idx="863">
                  <c:v>1.872</c:v>
                </c:pt>
                <c:pt idx="864">
                  <c:v>1.874</c:v>
                </c:pt>
                <c:pt idx="865">
                  <c:v>1.876</c:v>
                </c:pt>
                <c:pt idx="866">
                  <c:v>1.878</c:v>
                </c:pt>
                <c:pt idx="867">
                  <c:v>1.88</c:v>
                </c:pt>
                <c:pt idx="868">
                  <c:v>1.882</c:v>
                </c:pt>
                <c:pt idx="869">
                  <c:v>1.884</c:v>
                </c:pt>
                <c:pt idx="870">
                  <c:v>1.886</c:v>
                </c:pt>
                <c:pt idx="871">
                  <c:v>1.888</c:v>
                </c:pt>
                <c:pt idx="872">
                  <c:v>1.89</c:v>
                </c:pt>
                <c:pt idx="873">
                  <c:v>1.892</c:v>
                </c:pt>
                <c:pt idx="874">
                  <c:v>1.894</c:v>
                </c:pt>
                <c:pt idx="875">
                  <c:v>1.896</c:v>
                </c:pt>
                <c:pt idx="876">
                  <c:v>1.898</c:v>
                </c:pt>
                <c:pt idx="877">
                  <c:v>1.9</c:v>
                </c:pt>
                <c:pt idx="878">
                  <c:v>1.902</c:v>
                </c:pt>
                <c:pt idx="879">
                  <c:v>1.904</c:v>
                </c:pt>
                <c:pt idx="880">
                  <c:v>1.906</c:v>
                </c:pt>
                <c:pt idx="881">
                  <c:v>1.908</c:v>
                </c:pt>
                <c:pt idx="882">
                  <c:v>1.91</c:v>
                </c:pt>
                <c:pt idx="883">
                  <c:v>1.912</c:v>
                </c:pt>
                <c:pt idx="884">
                  <c:v>1.914</c:v>
                </c:pt>
                <c:pt idx="885">
                  <c:v>1.916</c:v>
                </c:pt>
                <c:pt idx="886">
                  <c:v>1.918</c:v>
                </c:pt>
                <c:pt idx="887">
                  <c:v>1.92</c:v>
                </c:pt>
                <c:pt idx="888">
                  <c:v>1.922</c:v>
                </c:pt>
                <c:pt idx="889">
                  <c:v>1.924</c:v>
                </c:pt>
                <c:pt idx="890">
                  <c:v>1.926</c:v>
                </c:pt>
                <c:pt idx="891">
                  <c:v>1.928</c:v>
                </c:pt>
                <c:pt idx="892">
                  <c:v>1.93</c:v>
                </c:pt>
                <c:pt idx="893">
                  <c:v>1.932</c:v>
                </c:pt>
                <c:pt idx="894">
                  <c:v>1.934</c:v>
                </c:pt>
                <c:pt idx="895">
                  <c:v>1.936</c:v>
                </c:pt>
                <c:pt idx="896">
                  <c:v>1.938</c:v>
                </c:pt>
                <c:pt idx="897">
                  <c:v>1.94</c:v>
                </c:pt>
                <c:pt idx="898">
                  <c:v>1.942</c:v>
                </c:pt>
                <c:pt idx="899">
                  <c:v>1.944</c:v>
                </c:pt>
                <c:pt idx="900">
                  <c:v>1.946</c:v>
                </c:pt>
                <c:pt idx="901">
                  <c:v>1.948</c:v>
                </c:pt>
                <c:pt idx="902">
                  <c:v>1.95</c:v>
                </c:pt>
                <c:pt idx="903">
                  <c:v>1.952</c:v>
                </c:pt>
                <c:pt idx="904">
                  <c:v>1.954</c:v>
                </c:pt>
                <c:pt idx="905">
                  <c:v>1.956</c:v>
                </c:pt>
                <c:pt idx="906">
                  <c:v>1.958</c:v>
                </c:pt>
                <c:pt idx="907">
                  <c:v>1.96</c:v>
                </c:pt>
                <c:pt idx="908">
                  <c:v>1.962</c:v>
                </c:pt>
                <c:pt idx="909">
                  <c:v>1.964</c:v>
                </c:pt>
                <c:pt idx="910">
                  <c:v>1.966</c:v>
                </c:pt>
                <c:pt idx="911">
                  <c:v>1.968</c:v>
                </c:pt>
                <c:pt idx="912">
                  <c:v>1.97</c:v>
                </c:pt>
                <c:pt idx="913">
                  <c:v>1.972</c:v>
                </c:pt>
                <c:pt idx="914">
                  <c:v>1.974</c:v>
                </c:pt>
                <c:pt idx="915">
                  <c:v>1.976</c:v>
                </c:pt>
                <c:pt idx="916">
                  <c:v>1.978</c:v>
                </c:pt>
                <c:pt idx="917">
                  <c:v>1.98</c:v>
                </c:pt>
                <c:pt idx="918">
                  <c:v>1.982</c:v>
                </c:pt>
                <c:pt idx="919">
                  <c:v>1.984</c:v>
                </c:pt>
                <c:pt idx="920">
                  <c:v>1.986</c:v>
                </c:pt>
                <c:pt idx="921">
                  <c:v>1.988</c:v>
                </c:pt>
                <c:pt idx="922">
                  <c:v>1.99</c:v>
                </c:pt>
                <c:pt idx="923">
                  <c:v>1.992</c:v>
                </c:pt>
                <c:pt idx="924">
                  <c:v>1.994</c:v>
                </c:pt>
                <c:pt idx="925">
                  <c:v>1.996</c:v>
                </c:pt>
                <c:pt idx="926">
                  <c:v>1.998</c:v>
                </c:pt>
                <c:pt idx="927">
                  <c:v>2.0</c:v>
                </c:pt>
                <c:pt idx="928">
                  <c:v>2.002</c:v>
                </c:pt>
                <c:pt idx="929">
                  <c:v>2.004</c:v>
                </c:pt>
                <c:pt idx="930">
                  <c:v>2.006</c:v>
                </c:pt>
                <c:pt idx="931">
                  <c:v>2.008</c:v>
                </c:pt>
                <c:pt idx="932">
                  <c:v>2.01</c:v>
                </c:pt>
                <c:pt idx="933">
                  <c:v>2.012</c:v>
                </c:pt>
                <c:pt idx="934">
                  <c:v>2.014</c:v>
                </c:pt>
                <c:pt idx="935">
                  <c:v>2.016</c:v>
                </c:pt>
                <c:pt idx="936">
                  <c:v>2.018</c:v>
                </c:pt>
                <c:pt idx="937">
                  <c:v>2.02</c:v>
                </c:pt>
                <c:pt idx="938">
                  <c:v>2.022</c:v>
                </c:pt>
                <c:pt idx="939">
                  <c:v>2.024</c:v>
                </c:pt>
                <c:pt idx="940">
                  <c:v>2.026</c:v>
                </c:pt>
                <c:pt idx="941">
                  <c:v>2.028</c:v>
                </c:pt>
                <c:pt idx="942">
                  <c:v>2.03</c:v>
                </c:pt>
                <c:pt idx="943">
                  <c:v>2.032</c:v>
                </c:pt>
                <c:pt idx="944">
                  <c:v>2.034</c:v>
                </c:pt>
                <c:pt idx="945">
                  <c:v>2.036</c:v>
                </c:pt>
                <c:pt idx="946">
                  <c:v>2.038</c:v>
                </c:pt>
                <c:pt idx="947">
                  <c:v>2.04</c:v>
                </c:pt>
                <c:pt idx="948">
                  <c:v>2.042</c:v>
                </c:pt>
                <c:pt idx="949">
                  <c:v>2.044</c:v>
                </c:pt>
                <c:pt idx="950">
                  <c:v>2.046</c:v>
                </c:pt>
                <c:pt idx="951">
                  <c:v>2.048</c:v>
                </c:pt>
                <c:pt idx="952">
                  <c:v>2.05</c:v>
                </c:pt>
                <c:pt idx="953">
                  <c:v>2.052</c:v>
                </c:pt>
                <c:pt idx="954">
                  <c:v>2.054</c:v>
                </c:pt>
                <c:pt idx="955">
                  <c:v>2.056</c:v>
                </c:pt>
                <c:pt idx="956">
                  <c:v>2.058</c:v>
                </c:pt>
                <c:pt idx="957">
                  <c:v>2.06</c:v>
                </c:pt>
                <c:pt idx="958">
                  <c:v>2.062</c:v>
                </c:pt>
                <c:pt idx="959">
                  <c:v>2.064</c:v>
                </c:pt>
                <c:pt idx="960">
                  <c:v>2.066</c:v>
                </c:pt>
                <c:pt idx="961">
                  <c:v>2.068</c:v>
                </c:pt>
                <c:pt idx="962">
                  <c:v>2.07</c:v>
                </c:pt>
                <c:pt idx="963">
                  <c:v>2.072</c:v>
                </c:pt>
                <c:pt idx="964">
                  <c:v>2.074</c:v>
                </c:pt>
                <c:pt idx="965">
                  <c:v>2.076</c:v>
                </c:pt>
                <c:pt idx="966">
                  <c:v>2.078</c:v>
                </c:pt>
                <c:pt idx="967">
                  <c:v>2.08</c:v>
                </c:pt>
                <c:pt idx="968">
                  <c:v>2.082</c:v>
                </c:pt>
                <c:pt idx="969">
                  <c:v>2.084</c:v>
                </c:pt>
                <c:pt idx="970">
                  <c:v>2.086</c:v>
                </c:pt>
                <c:pt idx="971">
                  <c:v>2.088</c:v>
                </c:pt>
                <c:pt idx="972">
                  <c:v>2.09</c:v>
                </c:pt>
                <c:pt idx="973">
                  <c:v>2.092</c:v>
                </c:pt>
                <c:pt idx="974">
                  <c:v>2.094</c:v>
                </c:pt>
                <c:pt idx="975">
                  <c:v>2.096</c:v>
                </c:pt>
                <c:pt idx="976">
                  <c:v>2.098</c:v>
                </c:pt>
                <c:pt idx="977">
                  <c:v>2.1</c:v>
                </c:pt>
                <c:pt idx="978">
                  <c:v>2.102</c:v>
                </c:pt>
                <c:pt idx="979">
                  <c:v>2.104</c:v>
                </c:pt>
                <c:pt idx="980">
                  <c:v>2.106</c:v>
                </c:pt>
                <c:pt idx="981">
                  <c:v>2.108</c:v>
                </c:pt>
                <c:pt idx="982">
                  <c:v>2.11</c:v>
                </c:pt>
                <c:pt idx="983">
                  <c:v>2.112</c:v>
                </c:pt>
                <c:pt idx="984">
                  <c:v>2.114</c:v>
                </c:pt>
                <c:pt idx="985">
                  <c:v>2.116</c:v>
                </c:pt>
                <c:pt idx="986">
                  <c:v>2.118</c:v>
                </c:pt>
                <c:pt idx="987">
                  <c:v>2.12</c:v>
                </c:pt>
                <c:pt idx="988">
                  <c:v>2.122</c:v>
                </c:pt>
                <c:pt idx="989">
                  <c:v>2.124</c:v>
                </c:pt>
                <c:pt idx="990">
                  <c:v>2.126</c:v>
                </c:pt>
                <c:pt idx="991">
                  <c:v>2.128</c:v>
                </c:pt>
                <c:pt idx="992">
                  <c:v>2.13</c:v>
                </c:pt>
                <c:pt idx="993">
                  <c:v>2.132</c:v>
                </c:pt>
                <c:pt idx="994">
                  <c:v>2.134</c:v>
                </c:pt>
                <c:pt idx="995">
                  <c:v>2.136</c:v>
                </c:pt>
                <c:pt idx="996">
                  <c:v>2.138</c:v>
                </c:pt>
                <c:pt idx="997">
                  <c:v>2.14</c:v>
                </c:pt>
                <c:pt idx="998">
                  <c:v>2.142</c:v>
                </c:pt>
                <c:pt idx="999">
                  <c:v>2.144</c:v>
                </c:pt>
                <c:pt idx="1000">
                  <c:v>2.146</c:v>
                </c:pt>
                <c:pt idx="1001">
                  <c:v>2.148</c:v>
                </c:pt>
                <c:pt idx="1002">
                  <c:v>2.15</c:v>
                </c:pt>
                <c:pt idx="1003">
                  <c:v>2.152</c:v>
                </c:pt>
                <c:pt idx="1004">
                  <c:v>2.154</c:v>
                </c:pt>
                <c:pt idx="1005">
                  <c:v>2.156</c:v>
                </c:pt>
                <c:pt idx="1006">
                  <c:v>2.158</c:v>
                </c:pt>
                <c:pt idx="1007">
                  <c:v>2.16</c:v>
                </c:pt>
                <c:pt idx="1008">
                  <c:v>2.162</c:v>
                </c:pt>
                <c:pt idx="1009">
                  <c:v>2.164</c:v>
                </c:pt>
                <c:pt idx="1010">
                  <c:v>2.166</c:v>
                </c:pt>
                <c:pt idx="1011">
                  <c:v>2.168</c:v>
                </c:pt>
                <c:pt idx="1012">
                  <c:v>2.17</c:v>
                </c:pt>
                <c:pt idx="1013">
                  <c:v>2.172</c:v>
                </c:pt>
                <c:pt idx="1014">
                  <c:v>2.174</c:v>
                </c:pt>
                <c:pt idx="1015">
                  <c:v>2.176</c:v>
                </c:pt>
                <c:pt idx="1016">
                  <c:v>2.178</c:v>
                </c:pt>
                <c:pt idx="1017">
                  <c:v>2.18</c:v>
                </c:pt>
                <c:pt idx="1018">
                  <c:v>2.182</c:v>
                </c:pt>
                <c:pt idx="1019">
                  <c:v>2.184</c:v>
                </c:pt>
                <c:pt idx="1020">
                  <c:v>2.186</c:v>
                </c:pt>
                <c:pt idx="1021">
                  <c:v>2.188</c:v>
                </c:pt>
                <c:pt idx="1022">
                  <c:v>2.19</c:v>
                </c:pt>
                <c:pt idx="1023">
                  <c:v>2.192</c:v>
                </c:pt>
                <c:pt idx="1024">
                  <c:v>2.194</c:v>
                </c:pt>
                <c:pt idx="1025">
                  <c:v>2.196</c:v>
                </c:pt>
                <c:pt idx="1026">
                  <c:v>2.198</c:v>
                </c:pt>
                <c:pt idx="1027">
                  <c:v>2.2</c:v>
                </c:pt>
                <c:pt idx="1028">
                  <c:v>2.202</c:v>
                </c:pt>
                <c:pt idx="1029">
                  <c:v>2.204</c:v>
                </c:pt>
                <c:pt idx="1030">
                  <c:v>2.206</c:v>
                </c:pt>
                <c:pt idx="1031">
                  <c:v>2.208</c:v>
                </c:pt>
                <c:pt idx="1032">
                  <c:v>2.21</c:v>
                </c:pt>
                <c:pt idx="1033">
                  <c:v>2.212</c:v>
                </c:pt>
                <c:pt idx="1034">
                  <c:v>2.214</c:v>
                </c:pt>
                <c:pt idx="1035">
                  <c:v>2.216</c:v>
                </c:pt>
                <c:pt idx="1036">
                  <c:v>2.218</c:v>
                </c:pt>
                <c:pt idx="1037">
                  <c:v>2.22</c:v>
                </c:pt>
                <c:pt idx="1038">
                  <c:v>2.222</c:v>
                </c:pt>
                <c:pt idx="1039">
                  <c:v>2.224</c:v>
                </c:pt>
                <c:pt idx="1040">
                  <c:v>2.226</c:v>
                </c:pt>
                <c:pt idx="1041">
                  <c:v>2.228</c:v>
                </c:pt>
                <c:pt idx="1042">
                  <c:v>2.23</c:v>
                </c:pt>
                <c:pt idx="1043">
                  <c:v>2.232</c:v>
                </c:pt>
                <c:pt idx="1044">
                  <c:v>2.234</c:v>
                </c:pt>
                <c:pt idx="1045">
                  <c:v>2.236</c:v>
                </c:pt>
                <c:pt idx="1046">
                  <c:v>2.238</c:v>
                </c:pt>
                <c:pt idx="1047">
                  <c:v>2.24</c:v>
                </c:pt>
                <c:pt idx="1048">
                  <c:v>2.242</c:v>
                </c:pt>
                <c:pt idx="1049">
                  <c:v>2.244</c:v>
                </c:pt>
                <c:pt idx="1050">
                  <c:v>2.246</c:v>
                </c:pt>
                <c:pt idx="1051">
                  <c:v>2.248</c:v>
                </c:pt>
                <c:pt idx="1052">
                  <c:v>2.25</c:v>
                </c:pt>
                <c:pt idx="1053">
                  <c:v>2.252</c:v>
                </c:pt>
                <c:pt idx="1054">
                  <c:v>2.254</c:v>
                </c:pt>
                <c:pt idx="1055">
                  <c:v>2.256</c:v>
                </c:pt>
                <c:pt idx="1056">
                  <c:v>2.258</c:v>
                </c:pt>
                <c:pt idx="1057">
                  <c:v>2.26</c:v>
                </c:pt>
                <c:pt idx="1058">
                  <c:v>2.262</c:v>
                </c:pt>
                <c:pt idx="1059">
                  <c:v>2.264</c:v>
                </c:pt>
                <c:pt idx="1060">
                  <c:v>2.266</c:v>
                </c:pt>
                <c:pt idx="1061">
                  <c:v>2.268</c:v>
                </c:pt>
                <c:pt idx="1062">
                  <c:v>2.27</c:v>
                </c:pt>
                <c:pt idx="1063">
                  <c:v>2.272</c:v>
                </c:pt>
                <c:pt idx="1064">
                  <c:v>2.274</c:v>
                </c:pt>
                <c:pt idx="1065">
                  <c:v>2.276</c:v>
                </c:pt>
                <c:pt idx="1066">
                  <c:v>2.278</c:v>
                </c:pt>
                <c:pt idx="1067">
                  <c:v>2.28</c:v>
                </c:pt>
                <c:pt idx="1068">
                  <c:v>2.282</c:v>
                </c:pt>
                <c:pt idx="1069">
                  <c:v>2.284</c:v>
                </c:pt>
                <c:pt idx="1070">
                  <c:v>2.286</c:v>
                </c:pt>
                <c:pt idx="1071">
                  <c:v>2.288</c:v>
                </c:pt>
                <c:pt idx="1072">
                  <c:v>2.29</c:v>
                </c:pt>
                <c:pt idx="1073">
                  <c:v>2.292</c:v>
                </c:pt>
                <c:pt idx="1074">
                  <c:v>2.294</c:v>
                </c:pt>
                <c:pt idx="1075">
                  <c:v>2.296</c:v>
                </c:pt>
                <c:pt idx="1076">
                  <c:v>2.298</c:v>
                </c:pt>
                <c:pt idx="1077">
                  <c:v>2.3</c:v>
                </c:pt>
                <c:pt idx="1078">
                  <c:v>2.302</c:v>
                </c:pt>
                <c:pt idx="1079">
                  <c:v>2.304</c:v>
                </c:pt>
                <c:pt idx="1080">
                  <c:v>2.306</c:v>
                </c:pt>
                <c:pt idx="1081">
                  <c:v>2.308</c:v>
                </c:pt>
                <c:pt idx="1082">
                  <c:v>2.31</c:v>
                </c:pt>
                <c:pt idx="1083">
                  <c:v>2.312</c:v>
                </c:pt>
                <c:pt idx="1084">
                  <c:v>2.314</c:v>
                </c:pt>
                <c:pt idx="1085">
                  <c:v>2.316</c:v>
                </c:pt>
                <c:pt idx="1086">
                  <c:v>2.318</c:v>
                </c:pt>
                <c:pt idx="1087">
                  <c:v>2.32</c:v>
                </c:pt>
                <c:pt idx="1088">
                  <c:v>2.322</c:v>
                </c:pt>
                <c:pt idx="1089">
                  <c:v>2.324</c:v>
                </c:pt>
                <c:pt idx="1090">
                  <c:v>2.326</c:v>
                </c:pt>
                <c:pt idx="1091">
                  <c:v>2.328</c:v>
                </c:pt>
                <c:pt idx="1092">
                  <c:v>2.33</c:v>
                </c:pt>
                <c:pt idx="1093">
                  <c:v>2.332</c:v>
                </c:pt>
                <c:pt idx="1094">
                  <c:v>2.334</c:v>
                </c:pt>
                <c:pt idx="1095">
                  <c:v>2.336</c:v>
                </c:pt>
                <c:pt idx="1096">
                  <c:v>2.338</c:v>
                </c:pt>
                <c:pt idx="1097">
                  <c:v>2.34</c:v>
                </c:pt>
                <c:pt idx="1098">
                  <c:v>2.342</c:v>
                </c:pt>
                <c:pt idx="1099">
                  <c:v>2.344</c:v>
                </c:pt>
                <c:pt idx="1100">
                  <c:v>2.346</c:v>
                </c:pt>
                <c:pt idx="1101">
                  <c:v>2.348</c:v>
                </c:pt>
                <c:pt idx="1102">
                  <c:v>2.35</c:v>
                </c:pt>
                <c:pt idx="1103">
                  <c:v>2.352</c:v>
                </c:pt>
                <c:pt idx="1104">
                  <c:v>2.354</c:v>
                </c:pt>
                <c:pt idx="1105">
                  <c:v>2.356</c:v>
                </c:pt>
                <c:pt idx="1106">
                  <c:v>2.358</c:v>
                </c:pt>
                <c:pt idx="1107">
                  <c:v>2.36</c:v>
                </c:pt>
                <c:pt idx="1108">
                  <c:v>2.362</c:v>
                </c:pt>
                <c:pt idx="1109">
                  <c:v>2.364</c:v>
                </c:pt>
                <c:pt idx="1110">
                  <c:v>2.366</c:v>
                </c:pt>
                <c:pt idx="1111">
                  <c:v>2.368</c:v>
                </c:pt>
                <c:pt idx="1112">
                  <c:v>2.37</c:v>
                </c:pt>
                <c:pt idx="1113">
                  <c:v>2.372</c:v>
                </c:pt>
                <c:pt idx="1114">
                  <c:v>2.374</c:v>
                </c:pt>
                <c:pt idx="1115">
                  <c:v>2.376</c:v>
                </c:pt>
                <c:pt idx="1116">
                  <c:v>2.378</c:v>
                </c:pt>
                <c:pt idx="1117">
                  <c:v>2.38</c:v>
                </c:pt>
                <c:pt idx="1118">
                  <c:v>2.382</c:v>
                </c:pt>
                <c:pt idx="1119">
                  <c:v>2.384</c:v>
                </c:pt>
                <c:pt idx="1120">
                  <c:v>2.386</c:v>
                </c:pt>
                <c:pt idx="1121">
                  <c:v>2.388</c:v>
                </c:pt>
                <c:pt idx="1122">
                  <c:v>2.39</c:v>
                </c:pt>
                <c:pt idx="1123">
                  <c:v>2.392</c:v>
                </c:pt>
                <c:pt idx="1124">
                  <c:v>2.394</c:v>
                </c:pt>
                <c:pt idx="1125">
                  <c:v>2.396</c:v>
                </c:pt>
                <c:pt idx="1126">
                  <c:v>2.398</c:v>
                </c:pt>
                <c:pt idx="1127">
                  <c:v>2.4</c:v>
                </c:pt>
                <c:pt idx="1128">
                  <c:v>2.402</c:v>
                </c:pt>
                <c:pt idx="1129">
                  <c:v>2.404</c:v>
                </c:pt>
                <c:pt idx="1130">
                  <c:v>2.406</c:v>
                </c:pt>
                <c:pt idx="1131">
                  <c:v>2.408</c:v>
                </c:pt>
                <c:pt idx="1132">
                  <c:v>2.41</c:v>
                </c:pt>
                <c:pt idx="1133">
                  <c:v>2.412</c:v>
                </c:pt>
                <c:pt idx="1134">
                  <c:v>2.414</c:v>
                </c:pt>
                <c:pt idx="1135">
                  <c:v>2.416</c:v>
                </c:pt>
                <c:pt idx="1136">
                  <c:v>2.418</c:v>
                </c:pt>
                <c:pt idx="1137">
                  <c:v>2.42</c:v>
                </c:pt>
                <c:pt idx="1138">
                  <c:v>2.422</c:v>
                </c:pt>
                <c:pt idx="1139">
                  <c:v>2.424</c:v>
                </c:pt>
                <c:pt idx="1140">
                  <c:v>2.426</c:v>
                </c:pt>
                <c:pt idx="1141">
                  <c:v>2.428</c:v>
                </c:pt>
                <c:pt idx="1142">
                  <c:v>2.43</c:v>
                </c:pt>
                <c:pt idx="1143">
                  <c:v>2.432</c:v>
                </c:pt>
                <c:pt idx="1144">
                  <c:v>2.434</c:v>
                </c:pt>
                <c:pt idx="1145">
                  <c:v>2.436</c:v>
                </c:pt>
                <c:pt idx="1146">
                  <c:v>2.438</c:v>
                </c:pt>
                <c:pt idx="1147">
                  <c:v>2.44</c:v>
                </c:pt>
                <c:pt idx="1148">
                  <c:v>2.442</c:v>
                </c:pt>
                <c:pt idx="1149">
                  <c:v>2.444</c:v>
                </c:pt>
                <c:pt idx="1150">
                  <c:v>2.446</c:v>
                </c:pt>
                <c:pt idx="1151">
                  <c:v>2.448</c:v>
                </c:pt>
                <c:pt idx="1152">
                  <c:v>2.45</c:v>
                </c:pt>
                <c:pt idx="1153">
                  <c:v>2.452</c:v>
                </c:pt>
                <c:pt idx="1154">
                  <c:v>2.454</c:v>
                </c:pt>
                <c:pt idx="1155">
                  <c:v>2.456</c:v>
                </c:pt>
                <c:pt idx="1156">
                  <c:v>2.458</c:v>
                </c:pt>
                <c:pt idx="1157">
                  <c:v>2.46</c:v>
                </c:pt>
                <c:pt idx="1158">
                  <c:v>2.462</c:v>
                </c:pt>
                <c:pt idx="1159">
                  <c:v>2.464</c:v>
                </c:pt>
                <c:pt idx="1160">
                  <c:v>2.466</c:v>
                </c:pt>
                <c:pt idx="1161">
                  <c:v>2.468</c:v>
                </c:pt>
                <c:pt idx="1162">
                  <c:v>2.47</c:v>
                </c:pt>
                <c:pt idx="1163">
                  <c:v>2.472</c:v>
                </c:pt>
                <c:pt idx="1164">
                  <c:v>2.474</c:v>
                </c:pt>
                <c:pt idx="1165">
                  <c:v>2.476</c:v>
                </c:pt>
                <c:pt idx="1166">
                  <c:v>2.478</c:v>
                </c:pt>
                <c:pt idx="1167">
                  <c:v>2.48</c:v>
                </c:pt>
                <c:pt idx="1168">
                  <c:v>2.482</c:v>
                </c:pt>
                <c:pt idx="1169">
                  <c:v>2.484</c:v>
                </c:pt>
                <c:pt idx="1170">
                  <c:v>2.486</c:v>
                </c:pt>
                <c:pt idx="1171">
                  <c:v>2.488</c:v>
                </c:pt>
                <c:pt idx="1172">
                  <c:v>2.49</c:v>
                </c:pt>
                <c:pt idx="1173">
                  <c:v>2.492</c:v>
                </c:pt>
                <c:pt idx="1174">
                  <c:v>2.494</c:v>
                </c:pt>
                <c:pt idx="1175">
                  <c:v>2.496</c:v>
                </c:pt>
                <c:pt idx="1176">
                  <c:v>2.498</c:v>
                </c:pt>
                <c:pt idx="1177">
                  <c:v>2.5</c:v>
                </c:pt>
                <c:pt idx="1178">
                  <c:v>2.502</c:v>
                </c:pt>
                <c:pt idx="1179">
                  <c:v>2.504</c:v>
                </c:pt>
                <c:pt idx="1180">
                  <c:v>2.506</c:v>
                </c:pt>
                <c:pt idx="1181">
                  <c:v>2.508</c:v>
                </c:pt>
                <c:pt idx="1182">
                  <c:v>2.51</c:v>
                </c:pt>
                <c:pt idx="1183">
                  <c:v>2.512</c:v>
                </c:pt>
                <c:pt idx="1184">
                  <c:v>2.514</c:v>
                </c:pt>
                <c:pt idx="1185">
                  <c:v>2.516</c:v>
                </c:pt>
                <c:pt idx="1186">
                  <c:v>2.518</c:v>
                </c:pt>
                <c:pt idx="1187">
                  <c:v>2.52</c:v>
                </c:pt>
                <c:pt idx="1188">
                  <c:v>2.522</c:v>
                </c:pt>
                <c:pt idx="1189">
                  <c:v>2.524</c:v>
                </c:pt>
                <c:pt idx="1190">
                  <c:v>2.526</c:v>
                </c:pt>
                <c:pt idx="1191">
                  <c:v>2.528</c:v>
                </c:pt>
                <c:pt idx="1192">
                  <c:v>2.53</c:v>
                </c:pt>
                <c:pt idx="1193">
                  <c:v>2.532</c:v>
                </c:pt>
                <c:pt idx="1194">
                  <c:v>2.534</c:v>
                </c:pt>
                <c:pt idx="1195">
                  <c:v>2.536</c:v>
                </c:pt>
                <c:pt idx="1196">
                  <c:v>2.538</c:v>
                </c:pt>
                <c:pt idx="1197">
                  <c:v>2.54</c:v>
                </c:pt>
                <c:pt idx="1198">
                  <c:v>2.542</c:v>
                </c:pt>
                <c:pt idx="1199">
                  <c:v>2.544</c:v>
                </c:pt>
                <c:pt idx="1200">
                  <c:v>2.546</c:v>
                </c:pt>
                <c:pt idx="1201">
                  <c:v>2.548</c:v>
                </c:pt>
                <c:pt idx="1202">
                  <c:v>2.55</c:v>
                </c:pt>
                <c:pt idx="1203">
                  <c:v>2.552</c:v>
                </c:pt>
                <c:pt idx="1204">
                  <c:v>2.554</c:v>
                </c:pt>
                <c:pt idx="1205">
                  <c:v>2.556</c:v>
                </c:pt>
                <c:pt idx="1206">
                  <c:v>2.558</c:v>
                </c:pt>
                <c:pt idx="1207">
                  <c:v>2.56</c:v>
                </c:pt>
                <c:pt idx="1208">
                  <c:v>2.562</c:v>
                </c:pt>
                <c:pt idx="1209">
                  <c:v>2.564</c:v>
                </c:pt>
                <c:pt idx="1210">
                  <c:v>2.566</c:v>
                </c:pt>
                <c:pt idx="1211">
                  <c:v>2.568</c:v>
                </c:pt>
                <c:pt idx="1212">
                  <c:v>2.57</c:v>
                </c:pt>
                <c:pt idx="1213">
                  <c:v>2.572</c:v>
                </c:pt>
                <c:pt idx="1214">
                  <c:v>2.574</c:v>
                </c:pt>
                <c:pt idx="1215">
                  <c:v>2.576</c:v>
                </c:pt>
                <c:pt idx="1216">
                  <c:v>2.578</c:v>
                </c:pt>
                <c:pt idx="1217">
                  <c:v>2.58</c:v>
                </c:pt>
                <c:pt idx="1218">
                  <c:v>2.582</c:v>
                </c:pt>
                <c:pt idx="1219">
                  <c:v>2.584</c:v>
                </c:pt>
                <c:pt idx="1220">
                  <c:v>2.586</c:v>
                </c:pt>
                <c:pt idx="1221">
                  <c:v>2.588</c:v>
                </c:pt>
                <c:pt idx="1222">
                  <c:v>2.59</c:v>
                </c:pt>
                <c:pt idx="1223">
                  <c:v>2.592</c:v>
                </c:pt>
                <c:pt idx="1224">
                  <c:v>2.594</c:v>
                </c:pt>
                <c:pt idx="1225">
                  <c:v>2.596</c:v>
                </c:pt>
                <c:pt idx="1226">
                  <c:v>2.598</c:v>
                </c:pt>
                <c:pt idx="1227">
                  <c:v>2.6</c:v>
                </c:pt>
              </c:numCache>
            </c:numRef>
          </c:xVal>
          <c:yVal>
            <c:numRef>
              <c:f>dichroic!$G$5:$G$1238</c:f>
              <c:numCache>
                <c:formatCode>General</c:formatCode>
                <c:ptCount val="12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 formatCode="0.0000">
                  <c:v>0.00044399481</c:v>
                </c:pt>
                <c:pt idx="359">
                  <c:v>0.0</c:v>
                </c:pt>
                <c:pt idx="360" formatCode="0.0000">
                  <c:v>0.00021857487</c:v>
                </c:pt>
                <c:pt idx="361">
                  <c:v>0.0</c:v>
                </c:pt>
                <c:pt idx="362" formatCode="0.0000">
                  <c:v>0.00214680374</c:v>
                </c:pt>
                <c:pt idx="363" formatCode="0.0000">
                  <c:v>0.001021806</c:v>
                </c:pt>
                <c:pt idx="364">
                  <c:v>0.0</c:v>
                </c:pt>
                <c:pt idx="365" formatCode="0.0000">
                  <c:v>0.00145649746666667</c:v>
                </c:pt>
                <c:pt idx="366" formatCode="0.0000">
                  <c:v>0.00177381619222222</c:v>
                </c:pt>
                <c:pt idx="367">
                  <c:v>0.0</c:v>
                </c:pt>
                <c:pt idx="368" formatCode="0.0000">
                  <c:v>0.00200052114888889</c:v>
                </c:pt>
                <c:pt idx="369">
                  <c:v>0.0</c:v>
                </c:pt>
                <c:pt idx="370" formatCode="0.0000">
                  <c:v>0.00204056209222222</c:v>
                </c:pt>
                <c:pt idx="371" formatCode="0.0000">
                  <c:v>0.00235744088111111</c:v>
                </c:pt>
                <c:pt idx="372">
                  <c:v>0.0</c:v>
                </c:pt>
                <c:pt idx="373" formatCode="0.0000">
                  <c:v>0.00228324679</c:v>
                </c:pt>
                <c:pt idx="374" formatCode="0.0000">
                  <c:v>0.00266343163888889</c:v>
                </c:pt>
                <c:pt idx="375">
                  <c:v>0.0</c:v>
                </c:pt>
                <c:pt idx="376" formatCode="0.0000">
                  <c:v>0.00306826964777778</c:v>
                </c:pt>
                <c:pt idx="377">
                  <c:v>0.0</c:v>
                </c:pt>
                <c:pt idx="378" formatCode="0.0000">
                  <c:v>0.00336122081444444</c:v>
                </c:pt>
                <c:pt idx="379" formatCode="0.0000">
                  <c:v>0.00387928239111111</c:v>
                </c:pt>
                <c:pt idx="380">
                  <c:v>0.0</c:v>
                </c:pt>
                <c:pt idx="381" formatCode="0.0000">
                  <c:v>0.00425696073222222</c:v>
                </c:pt>
                <c:pt idx="382">
                  <c:v>0.0</c:v>
                </c:pt>
                <c:pt idx="383" formatCode="0.0000">
                  <c:v>0.00489353145</c:v>
                </c:pt>
                <c:pt idx="384" formatCode="0.0000">
                  <c:v>0.00570366043</c:v>
                </c:pt>
                <c:pt idx="385">
                  <c:v>0.0</c:v>
                </c:pt>
                <c:pt idx="386" formatCode="0.0000">
                  <c:v>0.00636153904777778</c:v>
                </c:pt>
                <c:pt idx="387" formatCode="0.0000">
                  <c:v>0.00742968817444444</c:v>
                </c:pt>
                <c:pt idx="388" formatCode="0.0000">
                  <c:v>0.00842975603111111</c:v>
                </c:pt>
                <c:pt idx="389" formatCode="0.0000">
                  <c:v>0.00948758237777777</c:v>
                </c:pt>
                <c:pt idx="390" formatCode="0.0000">
                  <c:v>0.0108070327166667</c:v>
                </c:pt>
                <c:pt idx="391" formatCode="0.0000">
                  <c:v>0.0124904229233333</c:v>
                </c:pt>
                <c:pt idx="392" formatCode="0.0000">
                  <c:v>0.01428366257</c:v>
                </c:pt>
                <c:pt idx="393" formatCode="0.0000">
                  <c:v>0.0164737259677778</c:v>
                </c:pt>
                <c:pt idx="394" formatCode="0.0000">
                  <c:v>0.0189174446788889</c:v>
                </c:pt>
                <c:pt idx="395" formatCode="0.0000">
                  <c:v>0.0219661426533333</c:v>
                </c:pt>
                <c:pt idx="396" formatCode="0.0000">
                  <c:v>0.0253137303711111</c:v>
                </c:pt>
                <c:pt idx="397" formatCode="0.0000">
                  <c:v>0.0293054935655555</c:v>
                </c:pt>
                <c:pt idx="398" formatCode="0.0000">
                  <c:v>0.0338759100433333</c:v>
                </c:pt>
                <c:pt idx="399" formatCode="0.0000">
                  <c:v>0.0391765533544444</c:v>
                </c:pt>
                <c:pt idx="400" formatCode="0.0000">
                  <c:v>0.0451430569744444</c:v>
                </c:pt>
                <c:pt idx="401" formatCode="0.0000">
                  <c:v>0.0523034715644444</c:v>
                </c:pt>
                <c:pt idx="402" formatCode="0.0000">
                  <c:v>0.0605378140288889</c:v>
                </c:pt>
                <c:pt idx="403" formatCode="0.0000">
                  <c:v>0.0701438819011111</c:v>
                </c:pt>
                <c:pt idx="404" formatCode="0.0000">
                  <c:v>0.0813455994866667</c:v>
                </c:pt>
                <c:pt idx="405" formatCode="0.0000">
                  <c:v>0.0944500954933333</c:v>
                </c:pt>
                <c:pt idx="406" formatCode="0.0000">
                  <c:v>0.109387548765556</c:v>
                </c:pt>
                <c:pt idx="407" formatCode="0.0000">
                  <c:v>0.126625407008889</c:v>
                </c:pt>
                <c:pt idx="408" formatCode="0.0000">
                  <c:v>0.146755133742222</c:v>
                </c:pt>
                <c:pt idx="409" formatCode="0.0000">
                  <c:v>0.16957661736</c:v>
                </c:pt>
                <c:pt idx="410" formatCode="0.0000">
                  <c:v>0.195669309844444</c:v>
                </c:pt>
                <c:pt idx="411" formatCode="0.0000">
                  <c:v>0.2246358363</c:v>
                </c:pt>
                <c:pt idx="412" formatCode="0.0000">
                  <c:v>0.256927126788889</c:v>
                </c:pt>
                <c:pt idx="413" formatCode="0.0000">
                  <c:v>0.292479359322222</c:v>
                </c:pt>
                <c:pt idx="414" formatCode="0.0000">
                  <c:v>0.331268391088889</c:v>
                </c:pt>
                <c:pt idx="415" formatCode="0.0000">
                  <c:v>0.373040279822222</c:v>
                </c:pt>
                <c:pt idx="416" formatCode="0.0000">
                  <c:v>0.417367362988889</c:v>
                </c:pt>
                <c:pt idx="417" formatCode="0.0000">
                  <c:v>0.462903548355556</c:v>
                </c:pt>
                <c:pt idx="418">
                  <c:v>0.509679175488889</c:v>
                </c:pt>
                <c:pt idx="419">
                  <c:v>0.556305558944445</c:v>
                </c:pt>
                <c:pt idx="420">
                  <c:v>0.602654058666667</c:v>
                </c:pt>
                <c:pt idx="421">
                  <c:v>0.647712372677778</c:v>
                </c:pt>
                <c:pt idx="422">
                  <c:v>0.689981986155555</c:v>
                </c:pt>
                <c:pt idx="423">
                  <c:v>0.729396540322222</c:v>
                </c:pt>
                <c:pt idx="424">
                  <c:v>0.765132276744444</c:v>
                </c:pt>
                <c:pt idx="425">
                  <c:v>0.797147598255555</c:v>
                </c:pt>
                <c:pt idx="426">
                  <c:v>0.825356055355555</c:v>
                </c:pt>
                <c:pt idx="427">
                  <c:v>0.849724426255555</c:v>
                </c:pt>
                <c:pt idx="428">
                  <c:v>0.870710728955555</c:v>
                </c:pt>
                <c:pt idx="429">
                  <c:v>0.887848281855555</c:v>
                </c:pt>
                <c:pt idx="430">
                  <c:v>0.901777750644444</c:v>
                </c:pt>
                <c:pt idx="431">
                  <c:v>0.913548041444444</c:v>
                </c:pt>
                <c:pt idx="432">
                  <c:v>0.922811898122222</c:v>
                </c:pt>
                <c:pt idx="433">
                  <c:v>0.930363845822222</c:v>
                </c:pt>
                <c:pt idx="434">
                  <c:v>0.936488418577778</c:v>
                </c:pt>
                <c:pt idx="435">
                  <c:v>0.941700142755556</c:v>
                </c:pt>
                <c:pt idx="436">
                  <c:v>0.945787150066667</c:v>
                </c:pt>
                <c:pt idx="437">
                  <c:v>0.948881963088889</c:v>
                </c:pt>
                <c:pt idx="438">
                  <c:v>0.9535720062</c:v>
                </c:pt>
                <c:pt idx="439">
                  <c:v>0.9566978455</c:v>
                </c:pt>
                <c:pt idx="440">
                  <c:v>0.9570046997</c:v>
                </c:pt>
                <c:pt idx="441">
                  <c:v>0.9584835815</c:v>
                </c:pt>
                <c:pt idx="442">
                  <c:v>0.96</c:v>
                </c:pt>
                <c:pt idx="443">
                  <c:v>0.96</c:v>
                </c:pt>
                <c:pt idx="444">
                  <c:v>0.96</c:v>
                </c:pt>
                <c:pt idx="445">
                  <c:v>0.96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</c:v>
                </c:pt>
                <c:pt idx="451">
                  <c:v>0.96</c:v>
                </c:pt>
                <c:pt idx="452">
                  <c:v>0.96</c:v>
                </c:pt>
                <c:pt idx="453">
                  <c:v>0.96</c:v>
                </c:pt>
                <c:pt idx="454">
                  <c:v>0.96</c:v>
                </c:pt>
                <c:pt idx="455">
                  <c:v>0.96</c:v>
                </c:pt>
                <c:pt idx="456">
                  <c:v>0.96</c:v>
                </c:pt>
                <c:pt idx="457">
                  <c:v>0.96</c:v>
                </c:pt>
                <c:pt idx="458">
                  <c:v>0.96</c:v>
                </c:pt>
                <c:pt idx="459">
                  <c:v>0.96</c:v>
                </c:pt>
                <c:pt idx="460">
                  <c:v>0.96</c:v>
                </c:pt>
                <c:pt idx="461">
                  <c:v>0.96</c:v>
                </c:pt>
                <c:pt idx="462">
                  <c:v>0.96</c:v>
                </c:pt>
                <c:pt idx="463">
                  <c:v>0.96</c:v>
                </c:pt>
                <c:pt idx="464">
                  <c:v>0.96</c:v>
                </c:pt>
                <c:pt idx="465">
                  <c:v>0.96</c:v>
                </c:pt>
                <c:pt idx="466">
                  <c:v>0.96</c:v>
                </c:pt>
                <c:pt idx="467">
                  <c:v>0.96</c:v>
                </c:pt>
                <c:pt idx="468">
                  <c:v>0.96</c:v>
                </c:pt>
                <c:pt idx="469">
                  <c:v>0.96</c:v>
                </c:pt>
                <c:pt idx="470">
                  <c:v>0.96</c:v>
                </c:pt>
                <c:pt idx="471">
                  <c:v>0.96</c:v>
                </c:pt>
                <c:pt idx="472">
                  <c:v>0.96</c:v>
                </c:pt>
                <c:pt idx="473">
                  <c:v>0.96</c:v>
                </c:pt>
                <c:pt idx="474">
                  <c:v>0.96</c:v>
                </c:pt>
                <c:pt idx="475">
                  <c:v>0.96</c:v>
                </c:pt>
                <c:pt idx="476">
                  <c:v>0.96</c:v>
                </c:pt>
                <c:pt idx="477">
                  <c:v>0.96</c:v>
                </c:pt>
                <c:pt idx="478">
                  <c:v>0.96</c:v>
                </c:pt>
                <c:pt idx="479">
                  <c:v>0.96</c:v>
                </c:pt>
                <c:pt idx="480">
                  <c:v>0.96</c:v>
                </c:pt>
                <c:pt idx="481">
                  <c:v>0.96</c:v>
                </c:pt>
                <c:pt idx="482">
                  <c:v>0.96</c:v>
                </c:pt>
                <c:pt idx="483">
                  <c:v>0.96</c:v>
                </c:pt>
                <c:pt idx="484">
                  <c:v>0.96</c:v>
                </c:pt>
                <c:pt idx="485">
                  <c:v>0.96</c:v>
                </c:pt>
                <c:pt idx="486">
                  <c:v>0.96</c:v>
                </c:pt>
                <c:pt idx="487">
                  <c:v>0.96</c:v>
                </c:pt>
                <c:pt idx="488">
                  <c:v>0.96</c:v>
                </c:pt>
                <c:pt idx="489">
                  <c:v>0.96</c:v>
                </c:pt>
                <c:pt idx="490">
                  <c:v>0.96</c:v>
                </c:pt>
                <c:pt idx="491">
                  <c:v>0.96</c:v>
                </c:pt>
                <c:pt idx="492">
                  <c:v>0.96</c:v>
                </c:pt>
                <c:pt idx="493">
                  <c:v>0.96</c:v>
                </c:pt>
                <c:pt idx="494">
                  <c:v>0.96</c:v>
                </c:pt>
                <c:pt idx="495">
                  <c:v>0.96</c:v>
                </c:pt>
                <c:pt idx="496">
                  <c:v>0.96</c:v>
                </c:pt>
                <c:pt idx="497">
                  <c:v>0.96</c:v>
                </c:pt>
                <c:pt idx="498">
                  <c:v>0.96</c:v>
                </c:pt>
                <c:pt idx="499">
                  <c:v>0.96</c:v>
                </c:pt>
                <c:pt idx="500">
                  <c:v>0.96</c:v>
                </c:pt>
                <c:pt idx="501">
                  <c:v>0.96</c:v>
                </c:pt>
                <c:pt idx="502">
                  <c:v>0.96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0.96</c:v>
                </c:pt>
                <c:pt idx="514">
                  <c:v>0.96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0.96</c:v>
                </c:pt>
                <c:pt idx="523">
                  <c:v>0.96</c:v>
                </c:pt>
                <c:pt idx="524">
                  <c:v>0.96</c:v>
                </c:pt>
                <c:pt idx="525">
                  <c:v>0.96</c:v>
                </c:pt>
                <c:pt idx="526">
                  <c:v>0.96</c:v>
                </c:pt>
                <c:pt idx="527">
                  <c:v>0.96</c:v>
                </c:pt>
                <c:pt idx="528">
                  <c:v>0.96</c:v>
                </c:pt>
                <c:pt idx="529">
                  <c:v>0.96</c:v>
                </c:pt>
                <c:pt idx="530">
                  <c:v>0.96</c:v>
                </c:pt>
                <c:pt idx="531">
                  <c:v>0.96</c:v>
                </c:pt>
                <c:pt idx="532">
                  <c:v>0.96</c:v>
                </c:pt>
                <c:pt idx="533">
                  <c:v>0.96</c:v>
                </c:pt>
                <c:pt idx="534">
                  <c:v>0.96</c:v>
                </c:pt>
                <c:pt idx="535">
                  <c:v>0.96</c:v>
                </c:pt>
                <c:pt idx="536">
                  <c:v>0.96</c:v>
                </c:pt>
                <c:pt idx="537">
                  <c:v>0.96</c:v>
                </c:pt>
                <c:pt idx="538">
                  <c:v>0.96</c:v>
                </c:pt>
                <c:pt idx="539">
                  <c:v>0.96</c:v>
                </c:pt>
                <c:pt idx="540">
                  <c:v>0.96</c:v>
                </c:pt>
                <c:pt idx="541">
                  <c:v>0.96</c:v>
                </c:pt>
                <c:pt idx="542">
                  <c:v>0.96</c:v>
                </c:pt>
                <c:pt idx="543">
                  <c:v>0.96</c:v>
                </c:pt>
                <c:pt idx="544">
                  <c:v>0.96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0.96</c:v>
                </c:pt>
                <c:pt idx="552">
                  <c:v>0.96</c:v>
                </c:pt>
                <c:pt idx="553">
                  <c:v>0.96</c:v>
                </c:pt>
                <c:pt idx="554">
                  <c:v>0.96</c:v>
                </c:pt>
                <c:pt idx="555">
                  <c:v>0.96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0.96</c:v>
                </c:pt>
                <c:pt idx="565">
                  <c:v>0.96</c:v>
                </c:pt>
                <c:pt idx="566">
                  <c:v>0.96</c:v>
                </c:pt>
                <c:pt idx="567">
                  <c:v>0.96</c:v>
                </c:pt>
                <c:pt idx="568">
                  <c:v>0.96</c:v>
                </c:pt>
                <c:pt idx="569">
                  <c:v>0.96</c:v>
                </c:pt>
                <c:pt idx="570">
                  <c:v>0.96</c:v>
                </c:pt>
                <c:pt idx="571">
                  <c:v>0.96</c:v>
                </c:pt>
                <c:pt idx="572">
                  <c:v>0.96</c:v>
                </c:pt>
                <c:pt idx="573">
                  <c:v>0.96</c:v>
                </c:pt>
                <c:pt idx="574">
                  <c:v>0.96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0.96</c:v>
                </c:pt>
                <c:pt idx="695">
                  <c:v>0.96</c:v>
                </c:pt>
                <c:pt idx="696">
                  <c:v>0.96</c:v>
                </c:pt>
                <c:pt idx="697">
                  <c:v>0.96</c:v>
                </c:pt>
                <c:pt idx="698">
                  <c:v>0.96</c:v>
                </c:pt>
                <c:pt idx="699">
                  <c:v>0.96</c:v>
                </c:pt>
                <c:pt idx="700">
                  <c:v>0.96</c:v>
                </c:pt>
                <c:pt idx="701">
                  <c:v>0.96</c:v>
                </c:pt>
                <c:pt idx="702">
                  <c:v>0.96</c:v>
                </c:pt>
                <c:pt idx="703">
                  <c:v>0.96</c:v>
                </c:pt>
                <c:pt idx="704">
                  <c:v>0.96</c:v>
                </c:pt>
                <c:pt idx="705">
                  <c:v>0.96</c:v>
                </c:pt>
                <c:pt idx="706">
                  <c:v>0.96</c:v>
                </c:pt>
                <c:pt idx="707">
                  <c:v>0.96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0.96</c:v>
                </c:pt>
                <c:pt idx="713">
                  <c:v>0.96</c:v>
                </c:pt>
                <c:pt idx="714">
                  <c:v>0.96</c:v>
                </c:pt>
                <c:pt idx="715">
                  <c:v>0.96</c:v>
                </c:pt>
                <c:pt idx="716">
                  <c:v>0.96</c:v>
                </c:pt>
                <c:pt idx="717">
                  <c:v>0.96</c:v>
                </c:pt>
                <c:pt idx="718">
                  <c:v>0.96</c:v>
                </c:pt>
                <c:pt idx="719">
                  <c:v>0.96</c:v>
                </c:pt>
                <c:pt idx="720">
                  <c:v>0.96</c:v>
                </c:pt>
                <c:pt idx="721">
                  <c:v>0.96</c:v>
                </c:pt>
                <c:pt idx="722">
                  <c:v>0.96</c:v>
                </c:pt>
                <c:pt idx="723">
                  <c:v>0.96</c:v>
                </c:pt>
                <c:pt idx="724">
                  <c:v>0.96</c:v>
                </c:pt>
                <c:pt idx="725">
                  <c:v>0.96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0.96</c:v>
                </c:pt>
                <c:pt idx="730">
                  <c:v>0.96</c:v>
                </c:pt>
                <c:pt idx="731">
                  <c:v>0.96</c:v>
                </c:pt>
                <c:pt idx="732">
                  <c:v>0.96</c:v>
                </c:pt>
                <c:pt idx="733">
                  <c:v>0.96</c:v>
                </c:pt>
                <c:pt idx="734">
                  <c:v>0.96</c:v>
                </c:pt>
                <c:pt idx="735">
                  <c:v>0.96</c:v>
                </c:pt>
                <c:pt idx="736">
                  <c:v>0.96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</c:v>
                </c:pt>
                <c:pt idx="744">
                  <c:v>0.96</c:v>
                </c:pt>
                <c:pt idx="745">
                  <c:v>0.96</c:v>
                </c:pt>
                <c:pt idx="746">
                  <c:v>0.96</c:v>
                </c:pt>
                <c:pt idx="747">
                  <c:v>0.96</c:v>
                </c:pt>
                <c:pt idx="748">
                  <c:v>0.96</c:v>
                </c:pt>
                <c:pt idx="749">
                  <c:v>0.96</c:v>
                </c:pt>
                <c:pt idx="750">
                  <c:v>0.96</c:v>
                </c:pt>
                <c:pt idx="751">
                  <c:v>0.96</c:v>
                </c:pt>
                <c:pt idx="752">
                  <c:v>0.96</c:v>
                </c:pt>
                <c:pt idx="753">
                  <c:v>0.96</c:v>
                </c:pt>
                <c:pt idx="754">
                  <c:v>0.96</c:v>
                </c:pt>
                <c:pt idx="755">
                  <c:v>0.96</c:v>
                </c:pt>
                <c:pt idx="756">
                  <c:v>0.96</c:v>
                </c:pt>
                <c:pt idx="757">
                  <c:v>0.96</c:v>
                </c:pt>
                <c:pt idx="758">
                  <c:v>0.96</c:v>
                </c:pt>
                <c:pt idx="759">
                  <c:v>0.96</c:v>
                </c:pt>
                <c:pt idx="760">
                  <c:v>0.96</c:v>
                </c:pt>
                <c:pt idx="761">
                  <c:v>0.96</c:v>
                </c:pt>
                <c:pt idx="762">
                  <c:v>0.96</c:v>
                </c:pt>
                <c:pt idx="763">
                  <c:v>0.96</c:v>
                </c:pt>
                <c:pt idx="764">
                  <c:v>0.96</c:v>
                </c:pt>
                <c:pt idx="765">
                  <c:v>0.96</c:v>
                </c:pt>
                <c:pt idx="766">
                  <c:v>0.96</c:v>
                </c:pt>
                <c:pt idx="767">
                  <c:v>0.96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0.96</c:v>
                </c:pt>
                <c:pt idx="772">
                  <c:v>0.96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0.96</c:v>
                </c:pt>
                <c:pt idx="784">
                  <c:v>0.96</c:v>
                </c:pt>
                <c:pt idx="785">
                  <c:v>0.96</c:v>
                </c:pt>
                <c:pt idx="786">
                  <c:v>0.96</c:v>
                </c:pt>
                <c:pt idx="787">
                  <c:v>0.96</c:v>
                </c:pt>
                <c:pt idx="788">
                  <c:v>0.96</c:v>
                </c:pt>
                <c:pt idx="789">
                  <c:v>0.96</c:v>
                </c:pt>
                <c:pt idx="790">
                  <c:v>0.96</c:v>
                </c:pt>
                <c:pt idx="791">
                  <c:v>0.96</c:v>
                </c:pt>
                <c:pt idx="792">
                  <c:v>0.96</c:v>
                </c:pt>
                <c:pt idx="793">
                  <c:v>0.96</c:v>
                </c:pt>
                <c:pt idx="794">
                  <c:v>0.96</c:v>
                </c:pt>
                <c:pt idx="795">
                  <c:v>0.96</c:v>
                </c:pt>
                <c:pt idx="796">
                  <c:v>0.96</c:v>
                </c:pt>
                <c:pt idx="797">
                  <c:v>0.96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0.96</c:v>
                </c:pt>
                <c:pt idx="804">
                  <c:v>0.96</c:v>
                </c:pt>
                <c:pt idx="805">
                  <c:v>0.96</c:v>
                </c:pt>
                <c:pt idx="806">
                  <c:v>0.96</c:v>
                </c:pt>
                <c:pt idx="807">
                  <c:v>0.96</c:v>
                </c:pt>
                <c:pt idx="808">
                  <c:v>0.96</c:v>
                </c:pt>
                <c:pt idx="809">
                  <c:v>0.96</c:v>
                </c:pt>
                <c:pt idx="810">
                  <c:v>0.96</c:v>
                </c:pt>
                <c:pt idx="811">
                  <c:v>0.96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0.96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0.96</c:v>
                </c:pt>
                <c:pt idx="820">
                  <c:v>0.96</c:v>
                </c:pt>
                <c:pt idx="821">
                  <c:v>0.96</c:v>
                </c:pt>
                <c:pt idx="822">
                  <c:v>0.96</c:v>
                </c:pt>
                <c:pt idx="823">
                  <c:v>0.96</c:v>
                </c:pt>
                <c:pt idx="824">
                  <c:v>0.96</c:v>
                </c:pt>
                <c:pt idx="825">
                  <c:v>0.96</c:v>
                </c:pt>
                <c:pt idx="826">
                  <c:v>0.96</c:v>
                </c:pt>
                <c:pt idx="827">
                  <c:v>0.96</c:v>
                </c:pt>
                <c:pt idx="828">
                  <c:v>0.96</c:v>
                </c:pt>
                <c:pt idx="829">
                  <c:v>0.96</c:v>
                </c:pt>
                <c:pt idx="830">
                  <c:v>0.96</c:v>
                </c:pt>
                <c:pt idx="831">
                  <c:v>0.96</c:v>
                </c:pt>
                <c:pt idx="832">
                  <c:v>0.96</c:v>
                </c:pt>
                <c:pt idx="833">
                  <c:v>0.96</c:v>
                </c:pt>
                <c:pt idx="834">
                  <c:v>0.96</c:v>
                </c:pt>
                <c:pt idx="835">
                  <c:v>0.96</c:v>
                </c:pt>
                <c:pt idx="836">
                  <c:v>0.96</c:v>
                </c:pt>
                <c:pt idx="837">
                  <c:v>0.96</c:v>
                </c:pt>
                <c:pt idx="838">
                  <c:v>0.96</c:v>
                </c:pt>
                <c:pt idx="839">
                  <c:v>0.96</c:v>
                </c:pt>
                <c:pt idx="840">
                  <c:v>0.96</c:v>
                </c:pt>
                <c:pt idx="841">
                  <c:v>0.96</c:v>
                </c:pt>
                <c:pt idx="842">
                  <c:v>0.96</c:v>
                </c:pt>
                <c:pt idx="843">
                  <c:v>0.96</c:v>
                </c:pt>
                <c:pt idx="844">
                  <c:v>0.96</c:v>
                </c:pt>
                <c:pt idx="845">
                  <c:v>0.96</c:v>
                </c:pt>
                <c:pt idx="846">
                  <c:v>0.96</c:v>
                </c:pt>
                <c:pt idx="847">
                  <c:v>0.96</c:v>
                </c:pt>
                <c:pt idx="848">
                  <c:v>0.96</c:v>
                </c:pt>
                <c:pt idx="849">
                  <c:v>0.96</c:v>
                </c:pt>
                <c:pt idx="850">
                  <c:v>0.96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0.96</c:v>
                </c:pt>
                <c:pt idx="855">
                  <c:v>0.96</c:v>
                </c:pt>
                <c:pt idx="856">
                  <c:v>0.96</c:v>
                </c:pt>
                <c:pt idx="857">
                  <c:v>0.96</c:v>
                </c:pt>
                <c:pt idx="858">
                  <c:v>0.96</c:v>
                </c:pt>
                <c:pt idx="859">
                  <c:v>0.96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0.96</c:v>
                </c:pt>
                <c:pt idx="864">
                  <c:v>0.96</c:v>
                </c:pt>
                <c:pt idx="865">
                  <c:v>0.96</c:v>
                </c:pt>
                <c:pt idx="866">
                  <c:v>0.96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0.96</c:v>
                </c:pt>
                <c:pt idx="872">
                  <c:v>0.96</c:v>
                </c:pt>
                <c:pt idx="873">
                  <c:v>0.96</c:v>
                </c:pt>
                <c:pt idx="874">
                  <c:v>0.96</c:v>
                </c:pt>
                <c:pt idx="875">
                  <c:v>0.96</c:v>
                </c:pt>
                <c:pt idx="876">
                  <c:v>0.96</c:v>
                </c:pt>
                <c:pt idx="877">
                  <c:v>0.96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0.96</c:v>
                </c:pt>
                <c:pt idx="882">
                  <c:v>0.96</c:v>
                </c:pt>
                <c:pt idx="883">
                  <c:v>0.96</c:v>
                </c:pt>
                <c:pt idx="884">
                  <c:v>0.96</c:v>
                </c:pt>
                <c:pt idx="885">
                  <c:v>0.96</c:v>
                </c:pt>
                <c:pt idx="886">
                  <c:v>0.96</c:v>
                </c:pt>
                <c:pt idx="887">
                  <c:v>0.96</c:v>
                </c:pt>
                <c:pt idx="888">
                  <c:v>0.96</c:v>
                </c:pt>
                <c:pt idx="889">
                  <c:v>0.96</c:v>
                </c:pt>
                <c:pt idx="890">
                  <c:v>0.96</c:v>
                </c:pt>
                <c:pt idx="891">
                  <c:v>0.96</c:v>
                </c:pt>
                <c:pt idx="892">
                  <c:v>0.96</c:v>
                </c:pt>
                <c:pt idx="893">
                  <c:v>0.96</c:v>
                </c:pt>
                <c:pt idx="894">
                  <c:v>0.96</c:v>
                </c:pt>
                <c:pt idx="895">
                  <c:v>0.96</c:v>
                </c:pt>
                <c:pt idx="896">
                  <c:v>0.96</c:v>
                </c:pt>
                <c:pt idx="897">
                  <c:v>0.96</c:v>
                </c:pt>
                <c:pt idx="898">
                  <c:v>0.96</c:v>
                </c:pt>
                <c:pt idx="899">
                  <c:v>0.96</c:v>
                </c:pt>
                <c:pt idx="900">
                  <c:v>0.96</c:v>
                </c:pt>
                <c:pt idx="901">
                  <c:v>0.96</c:v>
                </c:pt>
                <c:pt idx="902">
                  <c:v>0.96</c:v>
                </c:pt>
                <c:pt idx="903">
                  <c:v>0.96</c:v>
                </c:pt>
                <c:pt idx="904">
                  <c:v>0.96</c:v>
                </c:pt>
                <c:pt idx="905">
                  <c:v>0.96</c:v>
                </c:pt>
                <c:pt idx="906">
                  <c:v>0.96</c:v>
                </c:pt>
                <c:pt idx="907">
                  <c:v>0.96</c:v>
                </c:pt>
                <c:pt idx="908">
                  <c:v>0.96</c:v>
                </c:pt>
                <c:pt idx="909">
                  <c:v>0.96</c:v>
                </c:pt>
                <c:pt idx="910">
                  <c:v>0.96</c:v>
                </c:pt>
                <c:pt idx="911">
                  <c:v>0.96</c:v>
                </c:pt>
                <c:pt idx="912">
                  <c:v>0.96</c:v>
                </c:pt>
                <c:pt idx="913">
                  <c:v>0.96</c:v>
                </c:pt>
                <c:pt idx="914">
                  <c:v>0.96</c:v>
                </c:pt>
                <c:pt idx="915">
                  <c:v>0.96</c:v>
                </c:pt>
                <c:pt idx="916">
                  <c:v>0.96</c:v>
                </c:pt>
                <c:pt idx="917">
                  <c:v>0.96</c:v>
                </c:pt>
                <c:pt idx="918">
                  <c:v>0.96</c:v>
                </c:pt>
                <c:pt idx="919">
                  <c:v>0.96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0.96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0.96</c:v>
                </c:pt>
                <c:pt idx="942">
                  <c:v>0.96</c:v>
                </c:pt>
                <c:pt idx="943">
                  <c:v>0.96</c:v>
                </c:pt>
                <c:pt idx="944">
                  <c:v>0.96</c:v>
                </c:pt>
                <c:pt idx="945">
                  <c:v>0.96</c:v>
                </c:pt>
                <c:pt idx="946">
                  <c:v>0.96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0.96</c:v>
                </c:pt>
                <c:pt idx="952">
                  <c:v>0.96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0.96</c:v>
                </c:pt>
                <c:pt idx="968">
                  <c:v>0.96</c:v>
                </c:pt>
                <c:pt idx="969">
                  <c:v>0.96</c:v>
                </c:pt>
                <c:pt idx="970">
                  <c:v>0.96</c:v>
                </c:pt>
                <c:pt idx="971">
                  <c:v>0.96</c:v>
                </c:pt>
                <c:pt idx="972">
                  <c:v>0.96</c:v>
                </c:pt>
                <c:pt idx="973">
                  <c:v>0.96</c:v>
                </c:pt>
                <c:pt idx="974">
                  <c:v>0.96</c:v>
                </c:pt>
                <c:pt idx="975">
                  <c:v>0.96</c:v>
                </c:pt>
                <c:pt idx="976">
                  <c:v>0.96</c:v>
                </c:pt>
                <c:pt idx="977">
                  <c:v>0.96</c:v>
                </c:pt>
                <c:pt idx="978">
                  <c:v>0.96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0.96</c:v>
                </c:pt>
                <c:pt idx="983">
                  <c:v>0.96</c:v>
                </c:pt>
                <c:pt idx="984">
                  <c:v>0.96</c:v>
                </c:pt>
                <c:pt idx="985">
                  <c:v>0.96</c:v>
                </c:pt>
                <c:pt idx="986">
                  <c:v>0.96</c:v>
                </c:pt>
                <c:pt idx="987">
                  <c:v>0.96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0.96</c:v>
                </c:pt>
                <c:pt idx="992">
                  <c:v>0.96</c:v>
                </c:pt>
                <c:pt idx="993">
                  <c:v>0.96</c:v>
                </c:pt>
                <c:pt idx="994">
                  <c:v>0.96</c:v>
                </c:pt>
                <c:pt idx="995">
                  <c:v>0.96</c:v>
                </c:pt>
                <c:pt idx="996">
                  <c:v>0.96</c:v>
                </c:pt>
                <c:pt idx="997">
                  <c:v>0.96</c:v>
                </c:pt>
                <c:pt idx="998">
                  <c:v>0.96</c:v>
                </c:pt>
                <c:pt idx="999">
                  <c:v>0.96</c:v>
                </c:pt>
                <c:pt idx="1000">
                  <c:v>0.96</c:v>
                </c:pt>
                <c:pt idx="1001">
                  <c:v>0.96</c:v>
                </c:pt>
                <c:pt idx="1002">
                  <c:v>0.96</c:v>
                </c:pt>
                <c:pt idx="1003">
                  <c:v>0.96</c:v>
                </c:pt>
                <c:pt idx="1004">
                  <c:v>0.96</c:v>
                </c:pt>
                <c:pt idx="1005">
                  <c:v>0.96</c:v>
                </c:pt>
                <c:pt idx="1006">
                  <c:v>0.96</c:v>
                </c:pt>
                <c:pt idx="1007">
                  <c:v>0.96</c:v>
                </c:pt>
                <c:pt idx="1008">
                  <c:v>0.96</c:v>
                </c:pt>
                <c:pt idx="1009">
                  <c:v>0.96</c:v>
                </c:pt>
                <c:pt idx="1010">
                  <c:v>0.96</c:v>
                </c:pt>
                <c:pt idx="1011">
                  <c:v>0.96</c:v>
                </c:pt>
                <c:pt idx="1012">
                  <c:v>0.96</c:v>
                </c:pt>
                <c:pt idx="1013">
                  <c:v>0.96</c:v>
                </c:pt>
                <c:pt idx="1014">
                  <c:v>0.96</c:v>
                </c:pt>
                <c:pt idx="1015">
                  <c:v>0.96</c:v>
                </c:pt>
                <c:pt idx="1016">
                  <c:v>0.96</c:v>
                </c:pt>
                <c:pt idx="1017">
                  <c:v>0.96</c:v>
                </c:pt>
                <c:pt idx="1018">
                  <c:v>0.96</c:v>
                </c:pt>
                <c:pt idx="1019">
                  <c:v>0.96</c:v>
                </c:pt>
                <c:pt idx="1020">
                  <c:v>0.96</c:v>
                </c:pt>
                <c:pt idx="1021">
                  <c:v>0.96</c:v>
                </c:pt>
                <c:pt idx="1022">
                  <c:v>0.96</c:v>
                </c:pt>
                <c:pt idx="1023">
                  <c:v>0.96</c:v>
                </c:pt>
                <c:pt idx="1024">
                  <c:v>0.96</c:v>
                </c:pt>
                <c:pt idx="1025">
                  <c:v>0.96</c:v>
                </c:pt>
                <c:pt idx="1026">
                  <c:v>0.96</c:v>
                </c:pt>
                <c:pt idx="1027">
                  <c:v>0.96</c:v>
                </c:pt>
                <c:pt idx="1028">
                  <c:v>0.96</c:v>
                </c:pt>
                <c:pt idx="1029">
                  <c:v>0.96</c:v>
                </c:pt>
                <c:pt idx="1030">
                  <c:v>0.96</c:v>
                </c:pt>
                <c:pt idx="1031">
                  <c:v>0.96</c:v>
                </c:pt>
                <c:pt idx="1032">
                  <c:v>0.96</c:v>
                </c:pt>
                <c:pt idx="1033">
                  <c:v>0.96</c:v>
                </c:pt>
                <c:pt idx="1034">
                  <c:v>0.96</c:v>
                </c:pt>
                <c:pt idx="1035">
                  <c:v>0.96</c:v>
                </c:pt>
                <c:pt idx="1036">
                  <c:v>0.96</c:v>
                </c:pt>
                <c:pt idx="1037">
                  <c:v>0.96</c:v>
                </c:pt>
                <c:pt idx="1038">
                  <c:v>0.96</c:v>
                </c:pt>
                <c:pt idx="1039">
                  <c:v>0.96</c:v>
                </c:pt>
                <c:pt idx="1040">
                  <c:v>0.96</c:v>
                </c:pt>
                <c:pt idx="1041">
                  <c:v>0.96</c:v>
                </c:pt>
                <c:pt idx="1042">
                  <c:v>0.96</c:v>
                </c:pt>
                <c:pt idx="1043">
                  <c:v>0.96</c:v>
                </c:pt>
                <c:pt idx="1044">
                  <c:v>0.96</c:v>
                </c:pt>
                <c:pt idx="1045">
                  <c:v>0.96</c:v>
                </c:pt>
                <c:pt idx="1046">
                  <c:v>0.96</c:v>
                </c:pt>
                <c:pt idx="1047">
                  <c:v>0.96</c:v>
                </c:pt>
                <c:pt idx="1048">
                  <c:v>0.96</c:v>
                </c:pt>
                <c:pt idx="1049">
                  <c:v>0.96</c:v>
                </c:pt>
                <c:pt idx="1050">
                  <c:v>0.96</c:v>
                </c:pt>
                <c:pt idx="1051">
                  <c:v>0.96</c:v>
                </c:pt>
                <c:pt idx="1052">
                  <c:v>0.96</c:v>
                </c:pt>
                <c:pt idx="1053">
                  <c:v>0.96</c:v>
                </c:pt>
                <c:pt idx="1054">
                  <c:v>0.96</c:v>
                </c:pt>
                <c:pt idx="1055">
                  <c:v>0.96</c:v>
                </c:pt>
                <c:pt idx="1056">
                  <c:v>0.96</c:v>
                </c:pt>
                <c:pt idx="1057">
                  <c:v>0.96</c:v>
                </c:pt>
                <c:pt idx="1058">
                  <c:v>0.96</c:v>
                </c:pt>
                <c:pt idx="1059">
                  <c:v>0.96</c:v>
                </c:pt>
                <c:pt idx="1060">
                  <c:v>0.96</c:v>
                </c:pt>
                <c:pt idx="1061">
                  <c:v>0.96</c:v>
                </c:pt>
                <c:pt idx="1062">
                  <c:v>0.96</c:v>
                </c:pt>
                <c:pt idx="1063">
                  <c:v>0.96</c:v>
                </c:pt>
                <c:pt idx="1064">
                  <c:v>0.96</c:v>
                </c:pt>
                <c:pt idx="1065">
                  <c:v>0.96</c:v>
                </c:pt>
                <c:pt idx="1066">
                  <c:v>0.96</c:v>
                </c:pt>
                <c:pt idx="1067">
                  <c:v>0.96</c:v>
                </c:pt>
                <c:pt idx="1068">
                  <c:v>0.96</c:v>
                </c:pt>
                <c:pt idx="1069">
                  <c:v>0.96</c:v>
                </c:pt>
                <c:pt idx="1070">
                  <c:v>0.96</c:v>
                </c:pt>
                <c:pt idx="1071">
                  <c:v>0.96</c:v>
                </c:pt>
                <c:pt idx="1072">
                  <c:v>0.96</c:v>
                </c:pt>
                <c:pt idx="1073">
                  <c:v>0.96</c:v>
                </c:pt>
                <c:pt idx="1074">
                  <c:v>0.96</c:v>
                </c:pt>
                <c:pt idx="1075">
                  <c:v>0.96</c:v>
                </c:pt>
                <c:pt idx="1076">
                  <c:v>0.96</c:v>
                </c:pt>
                <c:pt idx="1077">
                  <c:v>0.96</c:v>
                </c:pt>
                <c:pt idx="1078">
                  <c:v>0.96</c:v>
                </c:pt>
                <c:pt idx="1079">
                  <c:v>0.96</c:v>
                </c:pt>
                <c:pt idx="1080">
                  <c:v>0.96</c:v>
                </c:pt>
                <c:pt idx="1081">
                  <c:v>0.96</c:v>
                </c:pt>
                <c:pt idx="1082">
                  <c:v>0.96</c:v>
                </c:pt>
                <c:pt idx="1083">
                  <c:v>0.96</c:v>
                </c:pt>
                <c:pt idx="1084">
                  <c:v>0.96</c:v>
                </c:pt>
                <c:pt idx="1085">
                  <c:v>0.96</c:v>
                </c:pt>
                <c:pt idx="1086">
                  <c:v>0.96</c:v>
                </c:pt>
                <c:pt idx="1087">
                  <c:v>0.96</c:v>
                </c:pt>
                <c:pt idx="1088">
                  <c:v>0.96</c:v>
                </c:pt>
                <c:pt idx="1089">
                  <c:v>0.96</c:v>
                </c:pt>
                <c:pt idx="1090">
                  <c:v>0.96</c:v>
                </c:pt>
                <c:pt idx="1091">
                  <c:v>0.96</c:v>
                </c:pt>
                <c:pt idx="1092">
                  <c:v>0.96</c:v>
                </c:pt>
                <c:pt idx="1093">
                  <c:v>0.96</c:v>
                </c:pt>
                <c:pt idx="1094">
                  <c:v>0.96</c:v>
                </c:pt>
                <c:pt idx="1095">
                  <c:v>0.96</c:v>
                </c:pt>
                <c:pt idx="1096">
                  <c:v>0.96</c:v>
                </c:pt>
                <c:pt idx="1097">
                  <c:v>0.96</c:v>
                </c:pt>
                <c:pt idx="1098">
                  <c:v>0.96</c:v>
                </c:pt>
                <c:pt idx="1099">
                  <c:v>0.96</c:v>
                </c:pt>
                <c:pt idx="1100">
                  <c:v>0.96</c:v>
                </c:pt>
                <c:pt idx="1101">
                  <c:v>0.96</c:v>
                </c:pt>
                <c:pt idx="1102">
                  <c:v>0.96</c:v>
                </c:pt>
                <c:pt idx="1103">
                  <c:v>0.96</c:v>
                </c:pt>
                <c:pt idx="1104">
                  <c:v>0.96</c:v>
                </c:pt>
                <c:pt idx="1105">
                  <c:v>0.96</c:v>
                </c:pt>
                <c:pt idx="1106">
                  <c:v>0.96</c:v>
                </c:pt>
                <c:pt idx="1107">
                  <c:v>0.96</c:v>
                </c:pt>
                <c:pt idx="1108">
                  <c:v>0.96</c:v>
                </c:pt>
                <c:pt idx="1109">
                  <c:v>0.96</c:v>
                </c:pt>
                <c:pt idx="1110">
                  <c:v>0.96</c:v>
                </c:pt>
                <c:pt idx="1111">
                  <c:v>0.96</c:v>
                </c:pt>
                <c:pt idx="1112">
                  <c:v>0.96</c:v>
                </c:pt>
                <c:pt idx="1113">
                  <c:v>0.96</c:v>
                </c:pt>
                <c:pt idx="1114">
                  <c:v>0.96</c:v>
                </c:pt>
                <c:pt idx="1115">
                  <c:v>0.96</c:v>
                </c:pt>
                <c:pt idx="1116">
                  <c:v>0.96</c:v>
                </c:pt>
                <c:pt idx="1117">
                  <c:v>0.96</c:v>
                </c:pt>
                <c:pt idx="1118">
                  <c:v>0.96</c:v>
                </c:pt>
                <c:pt idx="1119">
                  <c:v>0.96</c:v>
                </c:pt>
                <c:pt idx="1120">
                  <c:v>0.96</c:v>
                </c:pt>
                <c:pt idx="1121">
                  <c:v>0.96</c:v>
                </c:pt>
                <c:pt idx="1122">
                  <c:v>0.96</c:v>
                </c:pt>
                <c:pt idx="1123">
                  <c:v>0.96</c:v>
                </c:pt>
                <c:pt idx="1124">
                  <c:v>0.96</c:v>
                </c:pt>
                <c:pt idx="1125">
                  <c:v>0.96</c:v>
                </c:pt>
                <c:pt idx="1126">
                  <c:v>0.96</c:v>
                </c:pt>
                <c:pt idx="1127">
                  <c:v>0.96</c:v>
                </c:pt>
                <c:pt idx="1128">
                  <c:v>0.96</c:v>
                </c:pt>
                <c:pt idx="1129">
                  <c:v>0.96</c:v>
                </c:pt>
                <c:pt idx="1130">
                  <c:v>0.96</c:v>
                </c:pt>
                <c:pt idx="1131">
                  <c:v>0.96</c:v>
                </c:pt>
                <c:pt idx="1132">
                  <c:v>0.96</c:v>
                </c:pt>
                <c:pt idx="1133">
                  <c:v>0.96</c:v>
                </c:pt>
                <c:pt idx="1134">
                  <c:v>0.96</c:v>
                </c:pt>
                <c:pt idx="1135">
                  <c:v>0.96</c:v>
                </c:pt>
                <c:pt idx="1136">
                  <c:v>0.96</c:v>
                </c:pt>
                <c:pt idx="1137">
                  <c:v>0.96</c:v>
                </c:pt>
                <c:pt idx="1138">
                  <c:v>0.96</c:v>
                </c:pt>
                <c:pt idx="1139">
                  <c:v>0.96</c:v>
                </c:pt>
                <c:pt idx="1140">
                  <c:v>0.96</c:v>
                </c:pt>
                <c:pt idx="1141">
                  <c:v>0.96</c:v>
                </c:pt>
                <c:pt idx="1142">
                  <c:v>0.96</c:v>
                </c:pt>
                <c:pt idx="1143">
                  <c:v>0.96</c:v>
                </c:pt>
                <c:pt idx="1144">
                  <c:v>0.96</c:v>
                </c:pt>
                <c:pt idx="1145">
                  <c:v>0.96</c:v>
                </c:pt>
                <c:pt idx="1146">
                  <c:v>0.96</c:v>
                </c:pt>
                <c:pt idx="1147">
                  <c:v>0.96</c:v>
                </c:pt>
                <c:pt idx="1148">
                  <c:v>0.96</c:v>
                </c:pt>
                <c:pt idx="1149">
                  <c:v>0.96</c:v>
                </c:pt>
                <c:pt idx="1150">
                  <c:v>0.96</c:v>
                </c:pt>
                <c:pt idx="1151">
                  <c:v>0.96</c:v>
                </c:pt>
                <c:pt idx="1152">
                  <c:v>0.96</c:v>
                </c:pt>
                <c:pt idx="1153">
                  <c:v>0.96</c:v>
                </c:pt>
                <c:pt idx="1154">
                  <c:v>0.96</c:v>
                </c:pt>
                <c:pt idx="1155">
                  <c:v>0.96</c:v>
                </c:pt>
                <c:pt idx="1156">
                  <c:v>0.96</c:v>
                </c:pt>
                <c:pt idx="1157">
                  <c:v>0.96</c:v>
                </c:pt>
                <c:pt idx="1158">
                  <c:v>0.96</c:v>
                </c:pt>
                <c:pt idx="1159">
                  <c:v>0.96</c:v>
                </c:pt>
                <c:pt idx="1160">
                  <c:v>0.96</c:v>
                </c:pt>
                <c:pt idx="1161">
                  <c:v>0.96</c:v>
                </c:pt>
                <c:pt idx="1162">
                  <c:v>0.96</c:v>
                </c:pt>
                <c:pt idx="1163">
                  <c:v>0.96</c:v>
                </c:pt>
                <c:pt idx="1164">
                  <c:v>0.96</c:v>
                </c:pt>
                <c:pt idx="1165">
                  <c:v>0.96</c:v>
                </c:pt>
                <c:pt idx="1166">
                  <c:v>0.96</c:v>
                </c:pt>
                <c:pt idx="1167">
                  <c:v>0.96</c:v>
                </c:pt>
                <c:pt idx="1168">
                  <c:v>0.96</c:v>
                </c:pt>
                <c:pt idx="1169">
                  <c:v>0.96</c:v>
                </c:pt>
                <c:pt idx="1170">
                  <c:v>0.96</c:v>
                </c:pt>
                <c:pt idx="1171">
                  <c:v>0.96</c:v>
                </c:pt>
                <c:pt idx="1172">
                  <c:v>0.96</c:v>
                </c:pt>
                <c:pt idx="1173">
                  <c:v>0.96</c:v>
                </c:pt>
                <c:pt idx="1174">
                  <c:v>0.96</c:v>
                </c:pt>
                <c:pt idx="1175">
                  <c:v>0.96</c:v>
                </c:pt>
                <c:pt idx="1176">
                  <c:v>0.96</c:v>
                </c:pt>
                <c:pt idx="1177">
                  <c:v>0.96</c:v>
                </c:pt>
                <c:pt idx="1178">
                  <c:v>0.96</c:v>
                </c:pt>
                <c:pt idx="1179">
                  <c:v>0.96</c:v>
                </c:pt>
                <c:pt idx="1180">
                  <c:v>0.96</c:v>
                </c:pt>
                <c:pt idx="1181">
                  <c:v>0.96</c:v>
                </c:pt>
                <c:pt idx="1182">
                  <c:v>0.96</c:v>
                </c:pt>
                <c:pt idx="1183">
                  <c:v>0.96</c:v>
                </c:pt>
                <c:pt idx="1184">
                  <c:v>0.96</c:v>
                </c:pt>
                <c:pt idx="1185">
                  <c:v>0.96</c:v>
                </c:pt>
                <c:pt idx="1186">
                  <c:v>0.96</c:v>
                </c:pt>
                <c:pt idx="1187">
                  <c:v>0.96</c:v>
                </c:pt>
                <c:pt idx="1188">
                  <c:v>0.96</c:v>
                </c:pt>
                <c:pt idx="1189">
                  <c:v>0.96</c:v>
                </c:pt>
                <c:pt idx="1190">
                  <c:v>0.96</c:v>
                </c:pt>
                <c:pt idx="1191">
                  <c:v>0.96</c:v>
                </c:pt>
                <c:pt idx="1192">
                  <c:v>0.96</c:v>
                </c:pt>
                <c:pt idx="1193">
                  <c:v>0.96</c:v>
                </c:pt>
                <c:pt idx="1194">
                  <c:v>0.96</c:v>
                </c:pt>
                <c:pt idx="1195">
                  <c:v>0.96</c:v>
                </c:pt>
                <c:pt idx="1196">
                  <c:v>0.96</c:v>
                </c:pt>
                <c:pt idx="1197">
                  <c:v>0.96</c:v>
                </c:pt>
                <c:pt idx="1198">
                  <c:v>0.96</c:v>
                </c:pt>
                <c:pt idx="1199">
                  <c:v>0.96</c:v>
                </c:pt>
                <c:pt idx="1200">
                  <c:v>0.96</c:v>
                </c:pt>
                <c:pt idx="1201">
                  <c:v>0.96</c:v>
                </c:pt>
                <c:pt idx="1202">
                  <c:v>0.96</c:v>
                </c:pt>
                <c:pt idx="1203">
                  <c:v>0.96</c:v>
                </c:pt>
                <c:pt idx="1204">
                  <c:v>0.96</c:v>
                </c:pt>
                <c:pt idx="1205">
                  <c:v>0.96</c:v>
                </c:pt>
                <c:pt idx="1206">
                  <c:v>0.96</c:v>
                </c:pt>
                <c:pt idx="1207">
                  <c:v>0.96</c:v>
                </c:pt>
                <c:pt idx="1208">
                  <c:v>0.96</c:v>
                </c:pt>
                <c:pt idx="1209">
                  <c:v>0.96</c:v>
                </c:pt>
                <c:pt idx="1210">
                  <c:v>0.96</c:v>
                </c:pt>
                <c:pt idx="1211">
                  <c:v>0.96</c:v>
                </c:pt>
                <c:pt idx="1212">
                  <c:v>0.96</c:v>
                </c:pt>
                <c:pt idx="1213">
                  <c:v>0.96</c:v>
                </c:pt>
                <c:pt idx="1214">
                  <c:v>0.96</c:v>
                </c:pt>
                <c:pt idx="1215">
                  <c:v>0.96</c:v>
                </c:pt>
                <c:pt idx="1216">
                  <c:v>0.96</c:v>
                </c:pt>
                <c:pt idx="1217">
                  <c:v>0.96</c:v>
                </c:pt>
                <c:pt idx="1218">
                  <c:v>0.96</c:v>
                </c:pt>
                <c:pt idx="1219">
                  <c:v>0.96</c:v>
                </c:pt>
                <c:pt idx="1220">
                  <c:v>0.96</c:v>
                </c:pt>
                <c:pt idx="1221">
                  <c:v>0.96</c:v>
                </c:pt>
                <c:pt idx="1222">
                  <c:v>0.96</c:v>
                </c:pt>
                <c:pt idx="1223">
                  <c:v>0.96</c:v>
                </c:pt>
                <c:pt idx="1224">
                  <c:v>0.96</c:v>
                </c:pt>
                <c:pt idx="1225">
                  <c:v>0.96</c:v>
                </c:pt>
                <c:pt idx="1226">
                  <c:v>0.96</c:v>
                </c:pt>
                <c:pt idx="1227">
                  <c:v>0.96</c:v>
                </c:pt>
              </c:numCache>
            </c:numRef>
          </c:yVal>
        </c:ser>
        <c:ser>
          <c:idx val="1"/>
          <c:order val="1"/>
          <c:tx>
            <c:strRef>
              <c:f>dichroic!$H$4</c:f>
              <c:strCache>
                <c:ptCount val="1"/>
                <c:pt idx="0">
                  <c:v>R 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dichroic!$F$5:$F$1238</c:f>
              <c:numCache>
                <c:formatCode>General</c:formatCode>
                <c:ptCount val="1234"/>
                <c:pt idx="0">
                  <c:v>0.2</c:v>
                </c:pt>
                <c:pt idx="1">
                  <c:v>0.202</c:v>
                </c:pt>
                <c:pt idx="2">
                  <c:v>0.204</c:v>
                </c:pt>
                <c:pt idx="3">
                  <c:v>0.206</c:v>
                </c:pt>
                <c:pt idx="4">
                  <c:v>0.208</c:v>
                </c:pt>
                <c:pt idx="5">
                  <c:v>0.21</c:v>
                </c:pt>
                <c:pt idx="6">
                  <c:v>0.212</c:v>
                </c:pt>
                <c:pt idx="7">
                  <c:v>0.214</c:v>
                </c:pt>
                <c:pt idx="8">
                  <c:v>0.216</c:v>
                </c:pt>
                <c:pt idx="9">
                  <c:v>0.218</c:v>
                </c:pt>
                <c:pt idx="10">
                  <c:v>0.22</c:v>
                </c:pt>
                <c:pt idx="11">
                  <c:v>0.222</c:v>
                </c:pt>
                <c:pt idx="12">
                  <c:v>0.224</c:v>
                </c:pt>
                <c:pt idx="13">
                  <c:v>0.226</c:v>
                </c:pt>
                <c:pt idx="14">
                  <c:v>0.228</c:v>
                </c:pt>
                <c:pt idx="15">
                  <c:v>0.23</c:v>
                </c:pt>
                <c:pt idx="16">
                  <c:v>0.232</c:v>
                </c:pt>
                <c:pt idx="17">
                  <c:v>0.234</c:v>
                </c:pt>
                <c:pt idx="18">
                  <c:v>0.236</c:v>
                </c:pt>
                <c:pt idx="19">
                  <c:v>0.238</c:v>
                </c:pt>
                <c:pt idx="20">
                  <c:v>0.24</c:v>
                </c:pt>
                <c:pt idx="21">
                  <c:v>0.242</c:v>
                </c:pt>
                <c:pt idx="22">
                  <c:v>0.244</c:v>
                </c:pt>
                <c:pt idx="23">
                  <c:v>0.246</c:v>
                </c:pt>
                <c:pt idx="24">
                  <c:v>0.248</c:v>
                </c:pt>
                <c:pt idx="25">
                  <c:v>0.25</c:v>
                </c:pt>
                <c:pt idx="26">
                  <c:v>0.252</c:v>
                </c:pt>
                <c:pt idx="27">
                  <c:v>0.254</c:v>
                </c:pt>
                <c:pt idx="28">
                  <c:v>0.256</c:v>
                </c:pt>
                <c:pt idx="29">
                  <c:v>0.258</c:v>
                </c:pt>
                <c:pt idx="30">
                  <c:v>0.26</c:v>
                </c:pt>
                <c:pt idx="31">
                  <c:v>0.262</c:v>
                </c:pt>
                <c:pt idx="32">
                  <c:v>0.264</c:v>
                </c:pt>
                <c:pt idx="33">
                  <c:v>0.266</c:v>
                </c:pt>
                <c:pt idx="34">
                  <c:v>0.268</c:v>
                </c:pt>
                <c:pt idx="35">
                  <c:v>0.27</c:v>
                </c:pt>
                <c:pt idx="36">
                  <c:v>0.272</c:v>
                </c:pt>
                <c:pt idx="37">
                  <c:v>0.274</c:v>
                </c:pt>
                <c:pt idx="38">
                  <c:v>0.276</c:v>
                </c:pt>
                <c:pt idx="39">
                  <c:v>0.278</c:v>
                </c:pt>
                <c:pt idx="40">
                  <c:v>0.28</c:v>
                </c:pt>
                <c:pt idx="41">
                  <c:v>0.282</c:v>
                </c:pt>
                <c:pt idx="42">
                  <c:v>0.284</c:v>
                </c:pt>
                <c:pt idx="43">
                  <c:v>0.286</c:v>
                </c:pt>
                <c:pt idx="44">
                  <c:v>0.288</c:v>
                </c:pt>
                <c:pt idx="45">
                  <c:v>0.29</c:v>
                </c:pt>
                <c:pt idx="46">
                  <c:v>0.292</c:v>
                </c:pt>
                <c:pt idx="47">
                  <c:v>0.294</c:v>
                </c:pt>
                <c:pt idx="48">
                  <c:v>0.296</c:v>
                </c:pt>
                <c:pt idx="49">
                  <c:v>0.298</c:v>
                </c:pt>
                <c:pt idx="50">
                  <c:v>0.3</c:v>
                </c:pt>
                <c:pt idx="51">
                  <c:v>0.302</c:v>
                </c:pt>
                <c:pt idx="52">
                  <c:v>0.304</c:v>
                </c:pt>
                <c:pt idx="53">
                  <c:v>0.306</c:v>
                </c:pt>
                <c:pt idx="54">
                  <c:v>0.308</c:v>
                </c:pt>
                <c:pt idx="55">
                  <c:v>0.31</c:v>
                </c:pt>
                <c:pt idx="56">
                  <c:v>0.312</c:v>
                </c:pt>
                <c:pt idx="57">
                  <c:v>0.314</c:v>
                </c:pt>
                <c:pt idx="58">
                  <c:v>0.316</c:v>
                </c:pt>
                <c:pt idx="59">
                  <c:v>0.318</c:v>
                </c:pt>
                <c:pt idx="60">
                  <c:v>0.32</c:v>
                </c:pt>
                <c:pt idx="61">
                  <c:v>0.322</c:v>
                </c:pt>
                <c:pt idx="62">
                  <c:v>0.324</c:v>
                </c:pt>
                <c:pt idx="63">
                  <c:v>0.326</c:v>
                </c:pt>
                <c:pt idx="64">
                  <c:v>0.328</c:v>
                </c:pt>
                <c:pt idx="65">
                  <c:v>0.33</c:v>
                </c:pt>
                <c:pt idx="66">
                  <c:v>0.332</c:v>
                </c:pt>
                <c:pt idx="67">
                  <c:v>0.334</c:v>
                </c:pt>
                <c:pt idx="68">
                  <c:v>0.336</c:v>
                </c:pt>
                <c:pt idx="69">
                  <c:v>0.338</c:v>
                </c:pt>
                <c:pt idx="70">
                  <c:v>0.34</c:v>
                </c:pt>
                <c:pt idx="71">
                  <c:v>0.342</c:v>
                </c:pt>
                <c:pt idx="72">
                  <c:v>0.344</c:v>
                </c:pt>
                <c:pt idx="73">
                  <c:v>0.346</c:v>
                </c:pt>
                <c:pt idx="74">
                  <c:v>0.348</c:v>
                </c:pt>
                <c:pt idx="75">
                  <c:v>0.35</c:v>
                </c:pt>
                <c:pt idx="76">
                  <c:v>0.352</c:v>
                </c:pt>
                <c:pt idx="77">
                  <c:v>0.354</c:v>
                </c:pt>
                <c:pt idx="78">
                  <c:v>0.356</c:v>
                </c:pt>
                <c:pt idx="79">
                  <c:v>0.358</c:v>
                </c:pt>
                <c:pt idx="80">
                  <c:v>0.36</c:v>
                </c:pt>
                <c:pt idx="81">
                  <c:v>0.362</c:v>
                </c:pt>
                <c:pt idx="82">
                  <c:v>0.364</c:v>
                </c:pt>
                <c:pt idx="83">
                  <c:v>0.366</c:v>
                </c:pt>
                <c:pt idx="84">
                  <c:v>0.368</c:v>
                </c:pt>
                <c:pt idx="85">
                  <c:v>0.37</c:v>
                </c:pt>
                <c:pt idx="86">
                  <c:v>0.372</c:v>
                </c:pt>
                <c:pt idx="87">
                  <c:v>0.374</c:v>
                </c:pt>
                <c:pt idx="88">
                  <c:v>0.376</c:v>
                </c:pt>
                <c:pt idx="89">
                  <c:v>0.378</c:v>
                </c:pt>
                <c:pt idx="90">
                  <c:v>0.38</c:v>
                </c:pt>
                <c:pt idx="91">
                  <c:v>0.382</c:v>
                </c:pt>
                <c:pt idx="92">
                  <c:v>0.384</c:v>
                </c:pt>
                <c:pt idx="93">
                  <c:v>0.386</c:v>
                </c:pt>
                <c:pt idx="94">
                  <c:v>0.388</c:v>
                </c:pt>
                <c:pt idx="95">
                  <c:v>0.39</c:v>
                </c:pt>
                <c:pt idx="96">
                  <c:v>0.392</c:v>
                </c:pt>
                <c:pt idx="97">
                  <c:v>0.394</c:v>
                </c:pt>
                <c:pt idx="98">
                  <c:v>0.396</c:v>
                </c:pt>
                <c:pt idx="99">
                  <c:v>0.398</c:v>
                </c:pt>
                <c:pt idx="100">
                  <c:v>0.4</c:v>
                </c:pt>
                <c:pt idx="101">
                  <c:v>0.402</c:v>
                </c:pt>
                <c:pt idx="102">
                  <c:v>0.404</c:v>
                </c:pt>
                <c:pt idx="103">
                  <c:v>0.406</c:v>
                </c:pt>
                <c:pt idx="104">
                  <c:v>0.408</c:v>
                </c:pt>
                <c:pt idx="105">
                  <c:v>0.41</c:v>
                </c:pt>
                <c:pt idx="106">
                  <c:v>0.412</c:v>
                </c:pt>
                <c:pt idx="107">
                  <c:v>0.414</c:v>
                </c:pt>
                <c:pt idx="108">
                  <c:v>0.416</c:v>
                </c:pt>
                <c:pt idx="109">
                  <c:v>0.418</c:v>
                </c:pt>
                <c:pt idx="110">
                  <c:v>0.42</c:v>
                </c:pt>
                <c:pt idx="111">
                  <c:v>0.422</c:v>
                </c:pt>
                <c:pt idx="112">
                  <c:v>0.424</c:v>
                </c:pt>
                <c:pt idx="113">
                  <c:v>0.426</c:v>
                </c:pt>
                <c:pt idx="114">
                  <c:v>0.428</c:v>
                </c:pt>
                <c:pt idx="115">
                  <c:v>0.43</c:v>
                </c:pt>
                <c:pt idx="116">
                  <c:v>0.432</c:v>
                </c:pt>
                <c:pt idx="117">
                  <c:v>0.434</c:v>
                </c:pt>
                <c:pt idx="118">
                  <c:v>0.436</c:v>
                </c:pt>
                <c:pt idx="119">
                  <c:v>0.438</c:v>
                </c:pt>
                <c:pt idx="120">
                  <c:v>0.44</c:v>
                </c:pt>
                <c:pt idx="121">
                  <c:v>0.442</c:v>
                </c:pt>
                <c:pt idx="122">
                  <c:v>0.444</c:v>
                </c:pt>
                <c:pt idx="123">
                  <c:v>0.446</c:v>
                </c:pt>
                <c:pt idx="124">
                  <c:v>0.448</c:v>
                </c:pt>
                <c:pt idx="125">
                  <c:v>0.45</c:v>
                </c:pt>
                <c:pt idx="126">
                  <c:v>0.452</c:v>
                </c:pt>
                <c:pt idx="127">
                  <c:v>0.454</c:v>
                </c:pt>
                <c:pt idx="128">
                  <c:v>0.456</c:v>
                </c:pt>
                <c:pt idx="129">
                  <c:v>0.458</c:v>
                </c:pt>
                <c:pt idx="130">
                  <c:v>0.46</c:v>
                </c:pt>
                <c:pt idx="131">
                  <c:v>0.462</c:v>
                </c:pt>
                <c:pt idx="132">
                  <c:v>0.464</c:v>
                </c:pt>
                <c:pt idx="133">
                  <c:v>0.466</c:v>
                </c:pt>
                <c:pt idx="134">
                  <c:v>0.468</c:v>
                </c:pt>
                <c:pt idx="135">
                  <c:v>0.47</c:v>
                </c:pt>
                <c:pt idx="136">
                  <c:v>0.472</c:v>
                </c:pt>
                <c:pt idx="137">
                  <c:v>0.474</c:v>
                </c:pt>
                <c:pt idx="138">
                  <c:v>0.476</c:v>
                </c:pt>
                <c:pt idx="139">
                  <c:v>0.478</c:v>
                </c:pt>
                <c:pt idx="140">
                  <c:v>0.48</c:v>
                </c:pt>
                <c:pt idx="141">
                  <c:v>0.482</c:v>
                </c:pt>
                <c:pt idx="142">
                  <c:v>0.484</c:v>
                </c:pt>
                <c:pt idx="143">
                  <c:v>0.486</c:v>
                </c:pt>
                <c:pt idx="144">
                  <c:v>0.488</c:v>
                </c:pt>
                <c:pt idx="145">
                  <c:v>0.49</c:v>
                </c:pt>
                <c:pt idx="146">
                  <c:v>0.492</c:v>
                </c:pt>
                <c:pt idx="147">
                  <c:v>0.494</c:v>
                </c:pt>
                <c:pt idx="148">
                  <c:v>0.496</c:v>
                </c:pt>
                <c:pt idx="149">
                  <c:v>0.498</c:v>
                </c:pt>
                <c:pt idx="150">
                  <c:v>0.5</c:v>
                </c:pt>
                <c:pt idx="151">
                  <c:v>0.502</c:v>
                </c:pt>
                <c:pt idx="152">
                  <c:v>0.504</c:v>
                </c:pt>
                <c:pt idx="153">
                  <c:v>0.506</c:v>
                </c:pt>
                <c:pt idx="154">
                  <c:v>0.508</c:v>
                </c:pt>
                <c:pt idx="155">
                  <c:v>0.51</c:v>
                </c:pt>
                <c:pt idx="156">
                  <c:v>0.512</c:v>
                </c:pt>
                <c:pt idx="157">
                  <c:v>0.514</c:v>
                </c:pt>
                <c:pt idx="158">
                  <c:v>0.516</c:v>
                </c:pt>
                <c:pt idx="159">
                  <c:v>0.518</c:v>
                </c:pt>
                <c:pt idx="160">
                  <c:v>0.52</c:v>
                </c:pt>
                <c:pt idx="161">
                  <c:v>0.522</c:v>
                </c:pt>
                <c:pt idx="162">
                  <c:v>0.524</c:v>
                </c:pt>
                <c:pt idx="163">
                  <c:v>0.526</c:v>
                </c:pt>
                <c:pt idx="164">
                  <c:v>0.528</c:v>
                </c:pt>
                <c:pt idx="165">
                  <c:v>0.53</c:v>
                </c:pt>
                <c:pt idx="166">
                  <c:v>0.532</c:v>
                </c:pt>
                <c:pt idx="167">
                  <c:v>0.534</c:v>
                </c:pt>
                <c:pt idx="168">
                  <c:v>0.536</c:v>
                </c:pt>
                <c:pt idx="169">
                  <c:v>0.538</c:v>
                </c:pt>
                <c:pt idx="170">
                  <c:v>0.54</c:v>
                </c:pt>
                <c:pt idx="171">
                  <c:v>0.542</c:v>
                </c:pt>
                <c:pt idx="172">
                  <c:v>0.544</c:v>
                </c:pt>
                <c:pt idx="173">
                  <c:v>0.546</c:v>
                </c:pt>
                <c:pt idx="174">
                  <c:v>0.548</c:v>
                </c:pt>
                <c:pt idx="175">
                  <c:v>0.55</c:v>
                </c:pt>
                <c:pt idx="176">
                  <c:v>0.552</c:v>
                </c:pt>
                <c:pt idx="177">
                  <c:v>0.554</c:v>
                </c:pt>
                <c:pt idx="178">
                  <c:v>0.556</c:v>
                </c:pt>
                <c:pt idx="179">
                  <c:v>0.558</c:v>
                </c:pt>
                <c:pt idx="180">
                  <c:v>0.56</c:v>
                </c:pt>
                <c:pt idx="181">
                  <c:v>0.562</c:v>
                </c:pt>
                <c:pt idx="182">
                  <c:v>0.564</c:v>
                </c:pt>
                <c:pt idx="183">
                  <c:v>0.566</c:v>
                </c:pt>
                <c:pt idx="184">
                  <c:v>0.568</c:v>
                </c:pt>
                <c:pt idx="185">
                  <c:v>0.57</c:v>
                </c:pt>
                <c:pt idx="186">
                  <c:v>0.572</c:v>
                </c:pt>
                <c:pt idx="187">
                  <c:v>0.574</c:v>
                </c:pt>
                <c:pt idx="188">
                  <c:v>0.576</c:v>
                </c:pt>
                <c:pt idx="189">
                  <c:v>0.578</c:v>
                </c:pt>
                <c:pt idx="190">
                  <c:v>0.58</c:v>
                </c:pt>
                <c:pt idx="191">
                  <c:v>0.582</c:v>
                </c:pt>
                <c:pt idx="192">
                  <c:v>0.584</c:v>
                </c:pt>
                <c:pt idx="193">
                  <c:v>0.586</c:v>
                </c:pt>
                <c:pt idx="194">
                  <c:v>0.588</c:v>
                </c:pt>
                <c:pt idx="195">
                  <c:v>0.59</c:v>
                </c:pt>
                <c:pt idx="196">
                  <c:v>0.592</c:v>
                </c:pt>
                <c:pt idx="197">
                  <c:v>0.594</c:v>
                </c:pt>
                <c:pt idx="198">
                  <c:v>0.596</c:v>
                </c:pt>
                <c:pt idx="199">
                  <c:v>0.598</c:v>
                </c:pt>
                <c:pt idx="200">
                  <c:v>0.6</c:v>
                </c:pt>
                <c:pt idx="201">
                  <c:v>0.602</c:v>
                </c:pt>
                <c:pt idx="202">
                  <c:v>0.604</c:v>
                </c:pt>
                <c:pt idx="203">
                  <c:v>0.606</c:v>
                </c:pt>
                <c:pt idx="204">
                  <c:v>0.608</c:v>
                </c:pt>
                <c:pt idx="205">
                  <c:v>0.61</c:v>
                </c:pt>
                <c:pt idx="206">
                  <c:v>0.612</c:v>
                </c:pt>
                <c:pt idx="207">
                  <c:v>0.614</c:v>
                </c:pt>
                <c:pt idx="208">
                  <c:v>0.616</c:v>
                </c:pt>
                <c:pt idx="209">
                  <c:v>0.618</c:v>
                </c:pt>
                <c:pt idx="210">
                  <c:v>0.62</c:v>
                </c:pt>
                <c:pt idx="211">
                  <c:v>0.622</c:v>
                </c:pt>
                <c:pt idx="212">
                  <c:v>0.624</c:v>
                </c:pt>
                <c:pt idx="213">
                  <c:v>0.626</c:v>
                </c:pt>
                <c:pt idx="214">
                  <c:v>0.628</c:v>
                </c:pt>
                <c:pt idx="215">
                  <c:v>0.63</c:v>
                </c:pt>
                <c:pt idx="216">
                  <c:v>0.632</c:v>
                </c:pt>
                <c:pt idx="217">
                  <c:v>0.634</c:v>
                </c:pt>
                <c:pt idx="218">
                  <c:v>0.636</c:v>
                </c:pt>
                <c:pt idx="219">
                  <c:v>0.638</c:v>
                </c:pt>
                <c:pt idx="220">
                  <c:v>0.64</c:v>
                </c:pt>
                <c:pt idx="221">
                  <c:v>0.642</c:v>
                </c:pt>
                <c:pt idx="222">
                  <c:v>0.644</c:v>
                </c:pt>
                <c:pt idx="223">
                  <c:v>0.646</c:v>
                </c:pt>
                <c:pt idx="224">
                  <c:v>0.648</c:v>
                </c:pt>
                <c:pt idx="225">
                  <c:v>0.65</c:v>
                </c:pt>
                <c:pt idx="226">
                  <c:v>0.652</c:v>
                </c:pt>
                <c:pt idx="227">
                  <c:v>0.654</c:v>
                </c:pt>
                <c:pt idx="228">
                  <c:v>0.656</c:v>
                </c:pt>
                <c:pt idx="229">
                  <c:v>0.658</c:v>
                </c:pt>
                <c:pt idx="230">
                  <c:v>0.66</c:v>
                </c:pt>
                <c:pt idx="231">
                  <c:v>0.662</c:v>
                </c:pt>
                <c:pt idx="232">
                  <c:v>0.664</c:v>
                </c:pt>
                <c:pt idx="233">
                  <c:v>0.666</c:v>
                </c:pt>
                <c:pt idx="234">
                  <c:v>0.668</c:v>
                </c:pt>
                <c:pt idx="235">
                  <c:v>0.67</c:v>
                </c:pt>
                <c:pt idx="236">
                  <c:v>0.672</c:v>
                </c:pt>
                <c:pt idx="237">
                  <c:v>0.674</c:v>
                </c:pt>
                <c:pt idx="238">
                  <c:v>0.676</c:v>
                </c:pt>
                <c:pt idx="239">
                  <c:v>0.678</c:v>
                </c:pt>
                <c:pt idx="240">
                  <c:v>0.68</c:v>
                </c:pt>
                <c:pt idx="241">
                  <c:v>0.682</c:v>
                </c:pt>
                <c:pt idx="242">
                  <c:v>0.684</c:v>
                </c:pt>
                <c:pt idx="243">
                  <c:v>0.686</c:v>
                </c:pt>
                <c:pt idx="244">
                  <c:v>0.688</c:v>
                </c:pt>
                <c:pt idx="245">
                  <c:v>0.69</c:v>
                </c:pt>
                <c:pt idx="246">
                  <c:v>0.692</c:v>
                </c:pt>
                <c:pt idx="247">
                  <c:v>0.694</c:v>
                </c:pt>
                <c:pt idx="248">
                  <c:v>0.696</c:v>
                </c:pt>
                <c:pt idx="249">
                  <c:v>0.698</c:v>
                </c:pt>
                <c:pt idx="250">
                  <c:v>0.7</c:v>
                </c:pt>
                <c:pt idx="251">
                  <c:v>0.702</c:v>
                </c:pt>
                <c:pt idx="252">
                  <c:v>0.704</c:v>
                </c:pt>
                <c:pt idx="253">
                  <c:v>0.706</c:v>
                </c:pt>
                <c:pt idx="254">
                  <c:v>0.708</c:v>
                </c:pt>
                <c:pt idx="255">
                  <c:v>0.71</c:v>
                </c:pt>
                <c:pt idx="256">
                  <c:v>0.712</c:v>
                </c:pt>
                <c:pt idx="257">
                  <c:v>0.714</c:v>
                </c:pt>
                <c:pt idx="258">
                  <c:v>0.716</c:v>
                </c:pt>
                <c:pt idx="259">
                  <c:v>0.718</c:v>
                </c:pt>
                <c:pt idx="260">
                  <c:v>0.72</c:v>
                </c:pt>
                <c:pt idx="261">
                  <c:v>0.722</c:v>
                </c:pt>
                <c:pt idx="262">
                  <c:v>0.724</c:v>
                </c:pt>
                <c:pt idx="263">
                  <c:v>0.726</c:v>
                </c:pt>
                <c:pt idx="264">
                  <c:v>0.728</c:v>
                </c:pt>
                <c:pt idx="265">
                  <c:v>0.73</c:v>
                </c:pt>
                <c:pt idx="266">
                  <c:v>0.732</c:v>
                </c:pt>
                <c:pt idx="267">
                  <c:v>0.734</c:v>
                </c:pt>
                <c:pt idx="268">
                  <c:v>0.736</c:v>
                </c:pt>
                <c:pt idx="269">
                  <c:v>0.738</c:v>
                </c:pt>
                <c:pt idx="270">
                  <c:v>0.74</c:v>
                </c:pt>
                <c:pt idx="271">
                  <c:v>0.742</c:v>
                </c:pt>
                <c:pt idx="272">
                  <c:v>0.744</c:v>
                </c:pt>
                <c:pt idx="273">
                  <c:v>0.746</c:v>
                </c:pt>
                <c:pt idx="274">
                  <c:v>0.748</c:v>
                </c:pt>
                <c:pt idx="275">
                  <c:v>0.75</c:v>
                </c:pt>
                <c:pt idx="276">
                  <c:v>0.752</c:v>
                </c:pt>
                <c:pt idx="277">
                  <c:v>0.754</c:v>
                </c:pt>
                <c:pt idx="278">
                  <c:v>0.756</c:v>
                </c:pt>
                <c:pt idx="279">
                  <c:v>0.758</c:v>
                </c:pt>
                <c:pt idx="280">
                  <c:v>0.76</c:v>
                </c:pt>
                <c:pt idx="281">
                  <c:v>0.762</c:v>
                </c:pt>
                <c:pt idx="282">
                  <c:v>0.764</c:v>
                </c:pt>
                <c:pt idx="283">
                  <c:v>0.766</c:v>
                </c:pt>
                <c:pt idx="284">
                  <c:v>0.768</c:v>
                </c:pt>
                <c:pt idx="285">
                  <c:v>0.77</c:v>
                </c:pt>
                <c:pt idx="286">
                  <c:v>0.772</c:v>
                </c:pt>
                <c:pt idx="287">
                  <c:v>0.774</c:v>
                </c:pt>
                <c:pt idx="288">
                  <c:v>0.776</c:v>
                </c:pt>
                <c:pt idx="289">
                  <c:v>0.778</c:v>
                </c:pt>
                <c:pt idx="290">
                  <c:v>0.78</c:v>
                </c:pt>
                <c:pt idx="291">
                  <c:v>0.782</c:v>
                </c:pt>
                <c:pt idx="292">
                  <c:v>0.784</c:v>
                </c:pt>
                <c:pt idx="293">
                  <c:v>0.786</c:v>
                </c:pt>
                <c:pt idx="294">
                  <c:v>0.788</c:v>
                </c:pt>
                <c:pt idx="295">
                  <c:v>0.79</c:v>
                </c:pt>
                <c:pt idx="296">
                  <c:v>0.792</c:v>
                </c:pt>
                <c:pt idx="297">
                  <c:v>0.794</c:v>
                </c:pt>
                <c:pt idx="298">
                  <c:v>0.796</c:v>
                </c:pt>
                <c:pt idx="299">
                  <c:v>0.798</c:v>
                </c:pt>
                <c:pt idx="300">
                  <c:v>0.8</c:v>
                </c:pt>
                <c:pt idx="301">
                  <c:v>0.802</c:v>
                </c:pt>
                <c:pt idx="302">
                  <c:v>0.804</c:v>
                </c:pt>
                <c:pt idx="303">
                  <c:v>0.806</c:v>
                </c:pt>
                <c:pt idx="304">
                  <c:v>0.808</c:v>
                </c:pt>
                <c:pt idx="305">
                  <c:v>0.81</c:v>
                </c:pt>
                <c:pt idx="306">
                  <c:v>0.812</c:v>
                </c:pt>
                <c:pt idx="307">
                  <c:v>0.814</c:v>
                </c:pt>
                <c:pt idx="308">
                  <c:v>0.816</c:v>
                </c:pt>
                <c:pt idx="309">
                  <c:v>0.818</c:v>
                </c:pt>
                <c:pt idx="310">
                  <c:v>0.82</c:v>
                </c:pt>
                <c:pt idx="311">
                  <c:v>0.822</c:v>
                </c:pt>
                <c:pt idx="312">
                  <c:v>0.824</c:v>
                </c:pt>
                <c:pt idx="313">
                  <c:v>0.826</c:v>
                </c:pt>
                <c:pt idx="314">
                  <c:v>0.828</c:v>
                </c:pt>
                <c:pt idx="315">
                  <c:v>0.83</c:v>
                </c:pt>
                <c:pt idx="316">
                  <c:v>0.832</c:v>
                </c:pt>
                <c:pt idx="317">
                  <c:v>0.834</c:v>
                </c:pt>
                <c:pt idx="318">
                  <c:v>0.836</c:v>
                </c:pt>
                <c:pt idx="319">
                  <c:v>0.838</c:v>
                </c:pt>
                <c:pt idx="320">
                  <c:v>0.84</c:v>
                </c:pt>
                <c:pt idx="321">
                  <c:v>0.842</c:v>
                </c:pt>
                <c:pt idx="322">
                  <c:v>0.844</c:v>
                </c:pt>
                <c:pt idx="323">
                  <c:v>0.846</c:v>
                </c:pt>
                <c:pt idx="324">
                  <c:v>0.848</c:v>
                </c:pt>
                <c:pt idx="325">
                  <c:v>0.85</c:v>
                </c:pt>
                <c:pt idx="326">
                  <c:v>0.852</c:v>
                </c:pt>
                <c:pt idx="327">
                  <c:v>0.854</c:v>
                </c:pt>
                <c:pt idx="328">
                  <c:v>0.856</c:v>
                </c:pt>
                <c:pt idx="329">
                  <c:v>0.858</c:v>
                </c:pt>
                <c:pt idx="330">
                  <c:v>0.86</c:v>
                </c:pt>
                <c:pt idx="331">
                  <c:v>0.862</c:v>
                </c:pt>
                <c:pt idx="332">
                  <c:v>0.864</c:v>
                </c:pt>
                <c:pt idx="333">
                  <c:v>0.866</c:v>
                </c:pt>
                <c:pt idx="334">
                  <c:v>0.868</c:v>
                </c:pt>
                <c:pt idx="335">
                  <c:v>0.87</c:v>
                </c:pt>
                <c:pt idx="336">
                  <c:v>0.872</c:v>
                </c:pt>
                <c:pt idx="337">
                  <c:v>0.874</c:v>
                </c:pt>
                <c:pt idx="338">
                  <c:v>0.876</c:v>
                </c:pt>
                <c:pt idx="339">
                  <c:v>0.878</c:v>
                </c:pt>
                <c:pt idx="340">
                  <c:v>0.88</c:v>
                </c:pt>
                <c:pt idx="341">
                  <c:v>0.882</c:v>
                </c:pt>
                <c:pt idx="342">
                  <c:v>0.884</c:v>
                </c:pt>
                <c:pt idx="343">
                  <c:v>0.886</c:v>
                </c:pt>
                <c:pt idx="344">
                  <c:v>0.888</c:v>
                </c:pt>
                <c:pt idx="345">
                  <c:v>0.89</c:v>
                </c:pt>
                <c:pt idx="346">
                  <c:v>0.892</c:v>
                </c:pt>
                <c:pt idx="347">
                  <c:v>0.894</c:v>
                </c:pt>
                <c:pt idx="348">
                  <c:v>0.896</c:v>
                </c:pt>
                <c:pt idx="349">
                  <c:v>0.898</c:v>
                </c:pt>
                <c:pt idx="350">
                  <c:v>0.9</c:v>
                </c:pt>
                <c:pt idx="351">
                  <c:v>0.902</c:v>
                </c:pt>
                <c:pt idx="352">
                  <c:v>0.904</c:v>
                </c:pt>
                <c:pt idx="353">
                  <c:v>0.906</c:v>
                </c:pt>
                <c:pt idx="354">
                  <c:v>0.908</c:v>
                </c:pt>
                <c:pt idx="355">
                  <c:v>0.91</c:v>
                </c:pt>
                <c:pt idx="356">
                  <c:v>0.912</c:v>
                </c:pt>
                <c:pt idx="357">
                  <c:v>0.914</c:v>
                </c:pt>
                <c:pt idx="358" formatCode="0.0000">
                  <c:v>0.915678321678322</c:v>
                </c:pt>
                <c:pt idx="359">
                  <c:v>0.916</c:v>
                </c:pt>
                <c:pt idx="360" formatCode="0.0000">
                  <c:v>0.916902097902098</c:v>
                </c:pt>
                <c:pt idx="361">
                  <c:v>0.918</c:v>
                </c:pt>
                <c:pt idx="362" formatCode="0.0000">
                  <c:v>0.918125874125874</c:v>
                </c:pt>
                <c:pt idx="363" formatCode="0.0000">
                  <c:v>0.91934965034965</c:v>
                </c:pt>
                <c:pt idx="364">
                  <c:v>0.92</c:v>
                </c:pt>
                <c:pt idx="365" formatCode="0.0000">
                  <c:v>0.920573426573426</c:v>
                </c:pt>
                <c:pt idx="366" formatCode="0.0000">
                  <c:v>0.921797202797203</c:v>
                </c:pt>
                <c:pt idx="367">
                  <c:v>0.922</c:v>
                </c:pt>
                <c:pt idx="368" formatCode="0.0000">
                  <c:v>0.923020979020979</c:v>
                </c:pt>
                <c:pt idx="369">
                  <c:v>0.924</c:v>
                </c:pt>
                <c:pt idx="370" formatCode="0.0000">
                  <c:v>0.924244755244755</c:v>
                </c:pt>
                <c:pt idx="371" formatCode="0.0000">
                  <c:v>0.925468531468531</c:v>
                </c:pt>
                <c:pt idx="372">
                  <c:v>0.926</c:v>
                </c:pt>
                <c:pt idx="373" formatCode="0.0000">
                  <c:v>0.926692307692307</c:v>
                </c:pt>
                <c:pt idx="374" formatCode="0.0000">
                  <c:v>0.927916083916084</c:v>
                </c:pt>
                <c:pt idx="375">
                  <c:v>0.928</c:v>
                </c:pt>
                <c:pt idx="376" formatCode="0.0000">
                  <c:v>0.92913986013986</c:v>
                </c:pt>
                <c:pt idx="377">
                  <c:v>0.93</c:v>
                </c:pt>
                <c:pt idx="378" formatCode="0.0000">
                  <c:v>0.930363636363636</c:v>
                </c:pt>
                <c:pt idx="379" formatCode="0.0000">
                  <c:v>0.931587412587412</c:v>
                </c:pt>
                <c:pt idx="380">
                  <c:v>0.932</c:v>
                </c:pt>
                <c:pt idx="381" formatCode="0.0000">
                  <c:v>0.932811188811188</c:v>
                </c:pt>
                <c:pt idx="382">
                  <c:v>0.934</c:v>
                </c:pt>
                <c:pt idx="383" formatCode="0.0000">
                  <c:v>0.934034965034965</c:v>
                </c:pt>
                <c:pt idx="384" formatCode="0.0000">
                  <c:v>0.935258741258741</c:v>
                </c:pt>
                <c:pt idx="385">
                  <c:v>0.936</c:v>
                </c:pt>
                <c:pt idx="386" formatCode="0.0000">
                  <c:v>0.936482517482517</c:v>
                </c:pt>
                <c:pt idx="387" formatCode="0.0000">
                  <c:v>0.937706293706293</c:v>
                </c:pt>
                <c:pt idx="388" formatCode="0.0000">
                  <c:v>0.93893006993007</c:v>
                </c:pt>
                <c:pt idx="389" formatCode="0.0000">
                  <c:v>0.940153846153846</c:v>
                </c:pt>
                <c:pt idx="390" formatCode="0.0000">
                  <c:v>0.941377622377622</c:v>
                </c:pt>
                <c:pt idx="391" formatCode="0.0000">
                  <c:v>0.942601398601398</c:v>
                </c:pt>
                <c:pt idx="392" formatCode="0.0000">
                  <c:v>0.943825174825175</c:v>
                </c:pt>
                <c:pt idx="393" formatCode="0.0000">
                  <c:v>0.945048951048951</c:v>
                </c:pt>
                <c:pt idx="394" formatCode="0.0000">
                  <c:v>0.946272727272727</c:v>
                </c:pt>
                <c:pt idx="395" formatCode="0.0000">
                  <c:v>0.947496503496503</c:v>
                </c:pt>
                <c:pt idx="396" formatCode="0.0000">
                  <c:v>0.94872027972028</c:v>
                </c:pt>
                <c:pt idx="397" formatCode="0.0000">
                  <c:v>0.949944055944056</c:v>
                </c:pt>
                <c:pt idx="398" formatCode="0.0000">
                  <c:v>0.951167832167832</c:v>
                </c:pt>
                <c:pt idx="399" formatCode="0.0000">
                  <c:v>0.952391608391608</c:v>
                </c:pt>
                <c:pt idx="400" formatCode="0.0000">
                  <c:v>0.953615384615385</c:v>
                </c:pt>
                <c:pt idx="401" formatCode="0.0000">
                  <c:v>0.954839160839161</c:v>
                </c:pt>
                <c:pt idx="402" formatCode="0.0000">
                  <c:v>0.956062937062937</c:v>
                </c:pt>
                <c:pt idx="403" formatCode="0.0000">
                  <c:v>0.957286713286713</c:v>
                </c:pt>
                <c:pt idx="404" formatCode="0.0000">
                  <c:v>0.95851048951049</c:v>
                </c:pt>
                <c:pt idx="405" formatCode="0.0000">
                  <c:v>0.959734265734266</c:v>
                </c:pt>
                <c:pt idx="406" formatCode="0.0000">
                  <c:v>0.960958041958042</c:v>
                </c:pt>
                <c:pt idx="407" formatCode="0.0000">
                  <c:v>0.962181818181818</c:v>
                </c:pt>
                <c:pt idx="408" formatCode="0.0000">
                  <c:v>0.963405594405595</c:v>
                </c:pt>
                <c:pt idx="409" formatCode="0.0000">
                  <c:v>0.964629370629371</c:v>
                </c:pt>
                <c:pt idx="410" formatCode="0.0000">
                  <c:v>0.965853146853147</c:v>
                </c:pt>
                <c:pt idx="411" formatCode="0.0000">
                  <c:v>0.967076923076923</c:v>
                </c:pt>
                <c:pt idx="412" formatCode="0.0000">
                  <c:v>0.968300699300699</c:v>
                </c:pt>
                <c:pt idx="413" formatCode="0.0000">
                  <c:v>0.969524475524475</c:v>
                </c:pt>
                <c:pt idx="414" formatCode="0.0000">
                  <c:v>0.970748251748251</c:v>
                </c:pt>
                <c:pt idx="415" formatCode="0.0000">
                  <c:v>0.971972027972028</c:v>
                </c:pt>
                <c:pt idx="416" formatCode="0.0000">
                  <c:v>0.973195804195804</c:v>
                </c:pt>
                <c:pt idx="417" formatCode="0.0000">
                  <c:v>0.97441958041958</c:v>
                </c:pt>
                <c:pt idx="418">
                  <c:v>0.975643356643356</c:v>
                </c:pt>
                <c:pt idx="419">
                  <c:v>0.976867132867133</c:v>
                </c:pt>
                <c:pt idx="420">
                  <c:v>0.978090909090909</c:v>
                </c:pt>
                <c:pt idx="421">
                  <c:v>0.979314685314685</c:v>
                </c:pt>
                <c:pt idx="422">
                  <c:v>0.980538461538461</c:v>
                </c:pt>
                <c:pt idx="423">
                  <c:v>0.981762237762237</c:v>
                </c:pt>
                <c:pt idx="424">
                  <c:v>0.982986013986014</c:v>
                </c:pt>
                <c:pt idx="425">
                  <c:v>0.98420979020979</c:v>
                </c:pt>
                <c:pt idx="426">
                  <c:v>0.985433566433566</c:v>
                </c:pt>
                <c:pt idx="427">
                  <c:v>0.986657342657342</c:v>
                </c:pt>
                <c:pt idx="428">
                  <c:v>0.987881118881119</c:v>
                </c:pt>
                <c:pt idx="429">
                  <c:v>0.989104895104895</c:v>
                </c:pt>
                <c:pt idx="430">
                  <c:v>0.990328671328671</c:v>
                </c:pt>
                <c:pt idx="431">
                  <c:v>0.991552447552447</c:v>
                </c:pt>
                <c:pt idx="432">
                  <c:v>0.992776223776224</c:v>
                </c:pt>
                <c:pt idx="433">
                  <c:v>0.994</c:v>
                </c:pt>
                <c:pt idx="434">
                  <c:v>0.995223776223776</c:v>
                </c:pt>
                <c:pt idx="435">
                  <c:v>0.996447552447552</c:v>
                </c:pt>
                <c:pt idx="436">
                  <c:v>0.997671328671329</c:v>
                </c:pt>
                <c:pt idx="437">
                  <c:v>0.998895104895105</c:v>
                </c:pt>
                <c:pt idx="438">
                  <c:v>1.000118881118881</c:v>
                </c:pt>
                <c:pt idx="439">
                  <c:v>1.001342657342657</c:v>
                </c:pt>
                <c:pt idx="440">
                  <c:v>1.002566433566434</c:v>
                </c:pt>
                <c:pt idx="441">
                  <c:v>1.00379020979021</c:v>
                </c:pt>
                <c:pt idx="442">
                  <c:v>1.005013986013986</c:v>
                </c:pt>
                <c:pt idx="443">
                  <c:v>1.032</c:v>
                </c:pt>
                <c:pt idx="444">
                  <c:v>1.034</c:v>
                </c:pt>
                <c:pt idx="445">
                  <c:v>1.036</c:v>
                </c:pt>
                <c:pt idx="446">
                  <c:v>1.038</c:v>
                </c:pt>
                <c:pt idx="447">
                  <c:v>1.04</c:v>
                </c:pt>
                <c:pt idx="448">
                  <c:v>1.042</c:v>
                </c:pt>
                <c:pt idx="449">
                  <c:v>1.044</c:v>
                </c:pt>
                <c:pt idx="450">
                  <c:v>1.046</c:v>
                </c:pt>
                <c:pt idx="451">
                  <c:v>1.048</c:v>
                </c:pt>
                <c:pt idx="452">
                  <c:v>1.05</c:v>
                </c:pt>
                <c:pt idx="453">
                  <c:v>1.052</c:v>
                </c:pt>
                <c:pt idx="454">
                  <c:v>1.054</c:v>
                </c:pt>
                <c:pt idx="455">
                  <c:v>1.056</c:v>
                </c:pt>
                <c:pt idx="456">
                  <c:v>1.058</c:v>
                </c:pt>
                <c:pt idx="457">
                  <c:v>1.06</c:v>
                </c:pt>
                <c:pt idx="458">
                  <c:v>1.062</c:v>
                </c:pt>
                <c:pt idx="459">
                  <c:v>1.064</c:v>
                </c:pt>
                <c:pt idx="460">
                  <c:v>1.066</c:v>
                </c:pt>
                <c:pt idx="461">
                  <c:v>1.068</c:v>
                </c:pt>
                <c:pt idx="462">
                  <c:v>1.07</c:v>
                </c:pt>
                <c:pt idx="463">
                  <c:v>1.072</c:v>
                </c:pt>
                <c:pt idx="464">
                  <c:v>1.074</c:v>
                </c:pt>
                <c:pt idx="465">
                  <c:v>1.076</c:v>
                </c:pt>
                <c:pt idx="466">
                  <c:v>1.078</c:v>
                </c:pt>
                <c:pt idx="467">
                  <c:v>1.08</c:v>
                </c:pt>
                <c:pt idx="468">
                  <c:v>1.082</c:v>
                </c:pt>
                <c:pt idx="469">
                  <c:v>1.084</c:v>
                </c:pt>
                <c:pt idx="470">
                  <c:v>1.086</c:v>
                </c:pt>
                <c:pt idx="471">
                  <c:v>1.088</c:v>
                </c:pt>
                <c:pt idx="472">
                  <c:v>1.09</c:v>
                </c:pt>
                <c:pt idx="473">
                  <c:v>1.092</c:v>
                </c:pt>
                <c:pt idx="474">
                  <c:v>1.094</c:v>
                </c:pt>
                <c:pt idx="475">
                  <c:v>1.096</c:v>
                </c:pt>
                <c:pt idx="476">
                  <c:v>1.098</c:v>
                </c:pt>
                <c:pt idx="477">
                  <c:v>1.1</c:v>
                </c:pt>
                <c:pt idx="478">
                  <c:v>1.102</c:v>
                </c:pt>
                <c:pt idx="479">
                  <c:v>1.104</c:v>
                </c:pt>
                <c:pt idx="480">
                  <c:v>1.106</c:v>
                </c:pt>
                <c:pt idx="481">
                  <c:v>1.108</c:v>
                </c:pt>
                <c:pt idx="482">
                  <c:v>1.11</c:v>
                </c:pt>
                <c:pt idx="483">
                  <c:v>1.112</c:v>
                </c:pt>
                <c:pt idx="484">
                  <c:v>1.114</c:v>
                </c:pt>
                <c:pt idx="485">
                  <c:v>1.116</c:v>
                </c:pt>
                <c:pt idx="486">
                  <c:v>1.118</c:v>
                </c:pt>
                <c:pt idx="487">
                  <c:v>1.12</c:v>
                </c:pt>
                <c:pt idx="488">
                  <c:v>1.122</c:v>
                </c:pt>
                <c:pt idx="489">
                  <c:v>1.124</c:v>
                </c:pt>
                <c:pt idx="490">
                  <c:v>1.126</c:v>
                </c:pt>
                <c:pt idx="491">
                  <c:v>1.128</c:v>
                </c:pt>
                <c:pt idx="492">
                  <c:v>1.13</c:v>
                </c:pt>
                <c:pt idx="493">
                  <c:v>1.132</c:v>
                </c:pt>
                <c:pt idx="494">
                  <c:v>1.134</c:v>
                </c:pt>
                <c:pt idx="495">
                  <c:v>1.136</c:v>
                </c:pt>
                <c:pt idx="496">
                  <c:v>1.138</c:v>
                </c:pt>
                <c:pt idx="497">
                  <c:v>1.14</c:v>
                </c:pt>
                <c:pt idx="498">
                  <c:v>1.142</c:v>
                </c:pt>
                <c:pt idx="499">
                  <c:v>1.144</c:v>
                </c:pt>
                <c:pt idx="500">
                  <c:v>1.146</c:v>
                </c:pt>
                <c:pt idx="501">
                  <c:v>1.148</c:v>
                </c:pt>
                <c:pt idx="502">
                  <c:v>1.15</c:v>
                </c:pt>
                <c:pt idx="503">
                  <c:v>1.152</c:v>
                </c:pt>
                <c:pt idx="504">
                  <c:v>1.154</c:v>
                </c:pt>
                <c:pt idx="505">
                  <c:v>1.156</c:v>
                </c:pt>
                <c:pt idx="506">
                  <c:v>1.158</c:v>
                </c:pt>
                <c:pt idx="507">
                  <c:v>1.16</c:v>
                </c:pt>
                <c:pt idx="508">
                  <c:v>1.162</c:v>
                </c:pt>
                <c:pt idx="509">
                  <c:v>1.164</c:v>
                </c:pt>
                <c:pt idx="510">
                  <c:v>1.166</c:v>
                </c:pt>
                <c:pt idx="511">
                  <c:v>1.168</c:v>
                </c:pt>
                <c:pt idx="512">
                  <c:v>1.17</c:v>
                </c:pt>
                <c:pt idx="513">
                  <c:v>1.172</c:v>
                </c:pt>
                <c:pt idx="514">
                  <c:v>1.174</c:v>
                </c:pt>
                <c:pt idx="515">
                  <c:v>1.176</c:v>
                </c:pt>
                <c:pt idx="516">
                  <c:v>1.178</c:v>
                </c:pt>
                <c:pt idx="517">
                  <c:v>1.18</c:v>
                </c:pt>
                <c:pt idx="518">
                  <c:v>1.182</c:v>
                </c:pt>
                <c:pt idx="519">
                  <c:v>1.184</c:v>
                </c:pt>
                <c:pt idx="520">
                  <c:v>1.186</c:v>
                </c:pt>
                <c:pt idx="521">
                  <c:v>1.188</c:v>
                </c:pt>
                <c:pt idx="522">
                  <c:v>1.19</c:v>
                </c:pt>
                <c:pt idx="523">
                  <c:v>1.192</c:v>
                </c:pt>
                <c:pt idx="524">
                  <c:v>1.194</c:v>
                </c:pt>
                <c:pt idx="525">
                  <c:v>1.196</c:v>
                </c:pt>
                <c:pt idx="526">
                  <c:v>1.198</c:v>
                </c:pt>
                <c:pt idx="527">
                  <c:v>1.2</c:v>
                </c:pt>
                <c:pt idx="528">
                  <c:v>1.202</c:v>
                </c:pt>
                <c:pt idx="529">
                  <c:v>1.204</c:v>
                </c:pt>
                <c:pt idx="530">
                  <c:v>1.206</c:v>
                </c:pt>
                <c:pt idx="531">
                  <c:v>1.208</c:v>
                </c:pt>
                <c:pt idx="532">
                  <c:v>1.21</c:v>
                </c:pt>
                <c:pt idx="533">
                  <c:v>1.212</c:v>
                </c:pt>
                <c:pt idx="534">
                  <c:v>1.214</c:v>
                </c:pt>
                <c:pt idx="535">
                  <c:v>1.216</c:v>
                </c:pt>
                <c:pt idx="536">
                  <c:v>1.218</c:v>
                </c:pt>
                <c:pt idx="537">
                  <c:v>1.22</c:v>
                </c:pt>
                <c:pt idx="538">
                  <c:v>1.222</c:v>
                </c:pt>
                <c:pt idx="539">
                  <c:v>1.224</c:v>
                </c:pt>
                <c:pt idx="540">
                  <c:v>1.226</c:v>
                </c:pt>
                <c:pt idx="541">
                  <c:v>1.228</c:v>
                </c:pt>
                <c:pt idx="542">
                  <c:v>1.23</c:v>
                </c:pt>
                <c:pt idx="543">
                  <c:v>1.232</c:v>
                </c:pt>
                <c:pt idx="544">
                  <c:v>1.234</c:v>
                </c:pt>
                <c:pt idx="545">
                  <c:v>1.236</c:v>
                </c:pt>
                <c:pt idx="546">
                  <c:v>1.238</c:v>
                </c:pt>
                <c:pt idx="547">
                  <c:v>1.24</c:v>
                </c:pt>
                <c:pt idx="548">
                  <c:v>1.242</c:v>
                </c:pt>
                <c:pt idx="549">
                  <c:v>1.244</c:v>
                </c:pt>
                <c:pt idx="550">
                  <c:v>1.246</c:v>
                </c:pt>
                <c:pt idx="551">
                  <c:v>1.248</c:v>
                </c:pt>
                <c:pt idx="552">
                  <c:v>1.25</c:v>
                </c:pt>
                <c:pt idx="553">
                  <c:v>1.252</c:v>
                </c:pt>
                <c:pt idx="554">
                  <c:v>1.254</c:v>
                </c:pt>
                <c:pt idx="555">
                  <c:v>1.256</c:v>
                </c:pt>
                <c:pt idx="556">
                  <c:v>1.258</c:v>
                </c:pt>
                <c:pt idx="557">
                  <c:v>1.26</c:v>
                </c:pt>
                <c:pt idx="558">
                  <c:v>1.262</c:v>
                </c:pt>
                <c:pt idx="559">
                  <c:v>1.264</c:v>
                </c:pt>
                <c:pt idx="560">
                  <c:v>1.266</c:v>
                </c:pt>
                <c:pt idx="561">
                  <c:v>1.268</c:v>
                </c:pt>
                <c:pt idx="562">
                  <c:v>1.27</c:v>
                </c:pt>
                <c:pt idx="563">
                  <c:v>1.272</c:v>
                </c:pt>
                <c:pt idx="564">
                  <c:v>1.274</c:v>
                </c:pt>
                <c:pt idx="565">
                  <c:v>1.276</c:v>
                </c:pt>
                <c:pt idx="566">
                  <c:v>1.278</c:v>
                </c:pt>
                <c:pt idx="567">
                  <c:v>1.28</c:v>
                </c:pt>
                <c:pt idx="568">
                  <c:v>1.282</c:v>
                </c:pt>
                <c:pt idx="569">
                  <c:v>1.284</c:v>
                </c:pt>
                <c:pt idx="570">
                  <c:v>1.286</c:v>
                </c:pt>
                <c:pt idx="571">
                  <c:v>1.288</c:v>
                </c:pt>
                <c:pt idx="572">
                  <c:v>1.29</c:v>
                </c:pt>
                <c:pt idx="573">
                  <c:v>1.292</c:v>
                </c:pt>
                <c:pt idx="574">
                  <c:v>1.294</c:v>
                </c:pt>
                <c:pt idx="575">
                  <c:v>1.296</c:v>
                </c:pt>
                <c:pt idx="576">
                  <c:v>1.298</c:v>
                </c:pt>
                <c:pt idx="577">
                  <c:v>1.3</c:v>
                </c:pt>
                <c:pt idx="578">
                  <c:v>1.302</c:v>
                </c:pt>
                <c:pt idx="579">
                  <c:v>1.304</c:v>
                </c:pt>
                <c:pt idx="580">
                  <c:v>1.306</c:v>
                </c:pt>
                <c:pt idx="581">
                  <c:v>1.308</c:v>
                </c:pt>
                <c:pt idx="582">
                  <c:v>1.31</c:v>
                </c:pt>
                <c:pt idx="583">
                  <c:v>1.312</c:v>
                </c:pt>
                <c:pt idx="584">
                  <c:v>1.314</c:v>
                </c:pt>
                <c:pt idx="585">
                  <c:v>1.316</c:v>
                </c:pt>
                <c:pt idx="586">
                  <c:v>1.318</c:v>
                </c:pt>
                <c:pt idx="587">
                  <c:v>1.32</c:v>
                </c:pt>
                <c:pt idx="588">
                  <c:v>1.322</c:v>
                </c:pt>
                <c:pt idx="589">
                  <c:v>1.324</c:v>
                </c:pt>
                <c:pt idx="590">
                  <c:v>1.326</c:v>
                </c:pt>
                <c:pt idx="591">
                  <c:v>1.328</c:v>
                </c:pt>
                <c:pt idx="592">
                  <c:v>1.33</c:v>
                </c:pt>
                <c:pt idx="593">
                  <c:v>1.332</c:v>
                </c:pt>
                <c:pt idx="594">
                  <c:v>1.334</c:v>
                </c:pt>
                <c:pt idx="595">
                  <c:v>1.336</c:v>
                </c:pt>
                <c:pt idx="596">
                  <c:v>1.338</c:v>
                </c:pt>
                <c:pt idx="597">
                  <c:v>1.34</c:v>
                </c:pt>
                <c:pt idx="598">
                  <c:v>1.342</c:v>
                </c:pt>
                <c:pt idx="599">
                  <c:v>1.344</c:v>
                </c:pt>
                <c:pt idx="600">
                  <c:v>1.346</c:v>
                </c:pt>
                <c:pt idx="601">
                  <c:v>1.348</c:v>
                </c:pt>
                <c:pt idx="602">
                  <c:v>1.35</c:v>
                </c:pt>
                <c:pt idx="603">
                  <c:v>1.352</c:v>
                </c:pt>
                <c:pt idx="604">
                  <c:v>1.354</c:v>
                </c:pt>
                <c:pt idx="605">
                  <c:v>1.356</c:v>
                </c:pt>
                <c:pt idx="606">
                  <c:v>1.358</c:v>
                </c:pt>
                <c:pt idx="607">
                  <c:v>1.36</c:v>
                </c:pt>
                <c:pt idx="608">
                  <c:v>1.362</c:v>
                </c:pt>
                <c:pt idx="609">
                  <c:v>1.364</c:v>
                </c:pt>
                <c:pt idx="610">
                  <c:v>1.366</c:v>
                </c:pt>
                <c:pt idx="611">
                  <c:v>1.368</c:v>
                </c:pt>
                <c:pt idx="612">
                  <c:v>1.37</c:v>
                </c:pt>
                <c:pt idx="613">
                  <c:v>1.372</c:v>
                </c:pt>
                <c:pt idx="614">
                  <c:v>1.374</c:v>
                </c:pt>
                <c:pt idx="615">
                  <c:v>1.376</c:v>
                </c:pt>
                <c:pt idx="616">
                  <c:v>1.378</c:v>
                </c:pt>
                <c:pt idx="617">
                  <c:v>1.38</c:v>
                </c:pt>
                <c:pt idx="618">
                  <c:v>1.382</c:v>
                </c:pt>
                <c:pt idx="619">
                  <c:v>1.384</c:v>
                </c:pt>
                <c:pt idx="620">
                  <c:v>1.386</c:v>
                </c:pt>
                <c:pt idx="621">
                  <c:v>1.388</c:v>
                </c:pt>
                <c:pt idx="622">
                  <c:v>1.39</c:v>
                </c:pt>
                <c:pt idx="623">
                  <c:v>1.392</c:v>
                </c:pt>
                <c:pt idx="624">
                  <c:v>1.394</c:v>
                </c:pt>
                <c:pt idx="625">
                  <c:v>1.396</c:v>
                </c:pt>
                <c:pt idx="626">
                  <c:v>1.398</c:v>
                </c:pt>
                <c:pt idx="627">
                  <c:v>1.4</c:v>
                </c:pt>
                <c:pt idx="628">
                  <c:v>1.402</c:v>
                </c:pt>
                <c:pt idx="629">
                  <c:v>1.404</c:v>
                </c:pt>
                <c:pt idx="630">
                  <c:v>1.406</c:v>
                </c:pt>
                <c:pt idx="631">
                  <c:v>1.408</c:v>
                </c:pt>
                <c:pt idx="632">
                  <c:v>1.41</c:v>
                </c:pt>
                <c:pt idx="633">
                  <c:v>1.412</c:v>
                </c:pt>
                <c:pt idx="634">
                  <c:v>1.414</c:v>
                </c:pt>
                <c:pt idx="635">
                  <c:v>1.416</c:v>
                </c:pt>
                <c:pt idx="636">
                  <c:v>1.418</c:v>
                </c:pt>
                <c:pt idx="637">
                  <c:v>1.42</c:v>
                </c:pt>
                <c:pt idx="638">
                  <c:v>1.422</c:v>
                </c:pt>
                <c:pt idx="639">
                  <c:v>1.424</c:v>
                </c:pt>
                <c:pt idx="640">
                  <c:v>1.426</c:v>
                </c:pt>
                <c:pt idx="641">
                  <c:v>1.428</c:v>
                </c:pt>
                <c:pt idx="642">
                  <c:v>1.43</c:v>
                </c:pt>
                <c:pt idx="643">
                  <c:v>1.432</c:v>
                </c:pt>
                <c:pt idx="644">
                  <c:v>1.434</c:v>
                </c:pt>
                <c:pt idx="645">
                  <c:v>1.436</c:v>
                </c:pt>
                <c:pt idx="646">
                  <c:v>1.438</c:v>
                </c:pt>
                <c:pt idx="647">
                  <c:v>1.44</c:v>
                </c:pt>
                <c:pt idx="648">
                  <c:v>1.442</c:v>
                </c:pt>
                <c:pt idx="649">
                  <c:v>1.444</c:v>
                </c:pt>
                <c:pt idx="650">
                  <c:v>1.446</c:v>
                </c:pt>
                <c:pt idx="651">
                  <c:v>1.448</c:v>
                </c:pt>
                <c:pt idx="652">
                  <c:v>1.45</c:v>
                </c:pt>
                <c:pt idx="653">
                  <c:v>1.452</c:v>
                </c:pt>
                <c:pt idx="654">
                  <c:v>1.454</c:v>
                </c:pt>
                <c:pt idx="655">
                  <c:v>1.456</c:v>
                </c:pt>
                <c:pt idx="656">
                  <c:v>1.458</c:v>
                </c:pt>
                <c:pt idx="657">
                  <c:v>1.46</c:v>
                </c:pt>
                <c:pt idx="658">
                  <c:v>1.462</c:v>
                </c:pt>
                <c:pt idx="659">
                  <c:v>1.464</c:v>
                </c:pt>
                <c:pt idx="660">
                  <c:v>1.466</c:v>
                </c:pt>
                <c:pt idx="661">
                  <c:v>1.468</c:v>
                </c:pt>
                <c:pt idx="662">
                  <c:v>1.47</c:v>
                </c:pt>
                <c:pt idx="663">
                  <c:v>1.472</c:v>
                </c:pt>
                <c:pt idx="664">
                  <c:v>1.474</c:v>
                </c:pt>
                <c:pt idx="665">
                  <c:v>1.476</c:v>
                </c:pt>
                <c:pt idx="666">
                  <c:v>1.478</c:v>
                </c:pt>
                <c:pt idx="667">
                  <c:v>1.48</c:v>
                </c:pt>
                <c:pt idx="668">
                  <c:v>1.482</c:v>
                </c:pt>
                <c:pt idx="669">
                  <c:v>1.484</c:v>
                </c:pt>
                <c:pt idx="670">
                  <c:v>1.486</c:v>
                </c:pt>
                <c:pt idx="671">
                  <c:v>1.488</c:v>
                </c:pt>
                <c:pt idx="672">
                  <c:v>1.49</c:v>
                </c:pt>
                <c:pt idx="673">
                  <c:v>1.492</c:v>
                </c:pt>
                <c:pt idx="674">
                  <c:v>1.494</c:v>
                </c:pt>
                <c:pt idx="675">
                  <c:v>1.496</c:v>
                </c:pt>
                <c:pt idx="676">
                  <c:v>1.498</c:v>
                </c:pt>
                <c:pt idx="677">
                  <c:v>1.5</c:v>
                </c:pt>
                <c:pt idx="678">
                  <c:v>1.502</c:v>
                </c:pt>
                <c:pt idx="679">
                  <c:v>1.504</c:v>
                </c:pt>
                <c:pt idx="680">
                  <c:v>1.506</c:v>
                </c:pt>
                <c:pt idx="681">
                  <c:v>1.508</c:v>
                </c:pt>
                <c:pt idx="682">
                  <c:v>1.51</c:v>
                </c:pt>
                <c:pt idx="683">
                  <c:v>1.512</c:v>
                </c:pt>
                <c:pt idx="684">
                  <c:v>1.514</c:v>
                </c:pt>
                <c:pt idx="685">
                  <c:v>1.516</c:v>
                </c:pt>
                <c:pt idx="686">
                  <c:v>1.518</c:v>
                </c:pt>
                <c:pt idx="687">
                  <c:v>1.52</c:v>
                </c:pt>
                <c:pt idx="688">
                  <c:v>1.522</c:v>
                </c:pt>
                <c:pt idx="689">
                  <c:v>1.524</c:v>
                </c:pt>
                <c:pt idx="690">
                  <c:v>1.526</c:v>
                </c:pt>
                <c:pt idx="691">
                  <c:v>1.528</c:v>
                </c:pt>
                <c:pt idx="692">
                  <c:v>1.53</c:v>
                </c:pt>
                <c:pt idx="693">
                  <c:v>1.532</c:v>
                </c:pt>
                <c:pt idx="694">
                  <c:v>1.534</c:v>
                </c:pt>
                <c:pt idx="695">
                  <c:v>1.536</c:v>
                </c:pt>
                <c:pt idx="696">
                  <c:v>1.538</c:v>
                </c:pt>
                <c:pt idx="697">
                  <c:v>1.54</c:v>
                </c:pt>
                <c:pt idx="698">
                  <c:v>1.542</c:v>
                </c:pt>
                <c:pt idx="699">
                  <c:v>1.544</c:v>
                </c:pt>
                <c:pt idx="700">
                  <c:v>1.546</c:v>
                </c:pt>
                <c:pt idx="701">
                  <c:v>1.548</c:v>
                </c:pt>
                <c:pt idx="702">
                  <c:v>1.55</c:v>
                </c:pt>
                <c:pt idx="703">
                  <c:v>1.552</c:v>
                </c:pt>
                <c:pt idx="704">
                  <c:v>1.554</c:v>
                </c:pt>
                <c:pt idx="705">
                  <c:v>1.556</c:v>
                </c:pt>
                <c:pt idx="706">
                  <c:v>1.558</c:v>
                </c:pt>
                <c:pt idx="707">
                  <c:v>1.56</c:v>
                </c:pt>
                <c:pt idx="708">
                  <c:v>1.562</c:v>
                </c:pt>
                <c:pt idx="709">
                  <c:v>1.564</c:v>
                </c:pt>
                <c:pt idx="710">
                  <c:v>1.566</c:v>
                </c:pt>
                <c:pt idx="711">
                  <c:v>1.568</c:v>
                </c:pt>
                <c:pt idx="712">
                  <c:v>1.57</c:v>
                </c:pt>
                <c:pt idx="713">
                  <c:v>1.572</c:v>
                </c:pt>
                <c:pt idx="714">
                  <c:v>1.574</c:v>
                </c:pt>
                <c:pt idx="715">
                  <c:v>1.576</c:v>
                </c:pt>
                <c:pt idx="716">
                  <c:v>1.578</c:v>
                </c:pt>
                <c:pt idx="717">
                  <c:v>1.58</c:v>
                </c:pt>
                <c:pt idx="718">
                  <c:v>1.582</c:v>
                </c:pt>
                <c:pt idx="719">
                  <c:v>1.584</c:v>
                </c:pt>
                <c:pt idx="720">
                  <c:v>1.586</c:v>
                </c:pt>
                <c:pt idx="721">
                  <c:v>1.588</c:v>
                </c:pt>
                <c:pt idx="722">
                  <c:v>1.59</c:v>
                </c:pt>
                <c:pt idx="723">
                  <c:v>1.592</c:v>
                </c:pt>
                <c:pt idx="724">
                  <c:v>1.594</c:v>
                </c:pt>
                <c:pt idx="725">
                  <c:v>1.596</c:v>
                </c:pt>
                <c:pt idx="726">
                  <c:v>1.598</c:v>
                </c:pt>
                <c:pt idx="727">
                  <c:v>1.6</c:v>
                </c:pt>
                <c:pt idx="728">
                  <c:v>1.602</c:v>
                </c:pt>
                <c:pt idx="729">
                  <c:v>1.604</c:v>
                </c:pt>
                <c:pt idx="730">
                  <c:v>1.606</c:v>
                </c:pt>
                <c:pt idx="731">
                  <c:v>1.608</c:v>
                </c:pt>
                <c:pt idx="732">
                  <c:v>1.61</c:v>
                </c:pt>
                <c:pt idx="733">
                  <c:v>1.612</c:v>
                </c:pt>
                <c:pt idx="734">
                  <c:v>1.614</c:v>
                </c:pt>
                <c:pt idx="735">
                  <c:v>1.616</c:v>
                </c:pt>
                <c:pt idx="736">
                  <c:v>1.618</c:v>
                </c:pt>
                <c:pt idx="737">
                  <c:v>1.62</c:v>
                </c:pt>
                <c:pt idx="738">
                  <c:v>1.622</c:v>
                </c:pt>
                <c:pt idx="739">
                  <c:v>1.624</c:v>
                </c:pt>
                <c:pt idx="740">
                  <c:v>1.626</c:v>
                </c:pt>
                <c:pt idx="741">
                  <c:v>1.628</c:v>
                </c:pt>
                <c:pt idx="742">
                  <c:v>1.63</c:v>
                </c:pt>
                <c:pt idx="743">
                  <c:v>1.632</c:v>
                </c:pt>
                <c:pt idx="744">
                  <c:v>1.634</c:v>
                </c:pt>
                <c:pt idx="745">
                  <c:v>1.636</c:v>
                </c:pt>
                <c:pt idx="746">
                  <c:v>1.638</c:v>
                </c:pt>
                <c:pt idx="747">
                  <c:v>1.64</c:v>
                </c:pt>
                <c:pt idx="748">
                  <c:v>1.642</c:v>
                </c:pt>
                <c:pt idx="749">
                  <c:v>1.644</c:v>
                </c:pt>
                <c:pt idx="750">
                  <c:v>1.646</c:v>
                </c:pt>
                <c:pt idx="751">
                  <c:v>1.648</c:v>
                </c:pt>
                <c:pt idx="752">
                  <c:v>1.65</c:v>
                </c:pt>
                <c:pt idx="753">
                  <c:v>1.652</c:v>
                </c:pt>
                <c:pt idx="754">
                  <c:v>1.654</c:v>
                </c:pt>
                <c:pt idx="755">
                  <c:v>1.656</c:v>
                </c:pt>
                <c:pt idx="756">
                  <c:v>1.658</c:v>
                </c:pt>
                <c:pt idx="757">
                  <c:v>1.66</c:v>
                </c:pt>
                <c:pt idx="758">
                  <c:v>1.662</c:v>
                </c:pt>
                <c:pt idx="759">
                  <c:v>1.664</c:v>
                </c:pt>
                <c:pt idx="760">
                  <c:v>1.666</c:v>
                </c:pt>
                <c:pt idx="761">
                  <c:v>1.668</c:v>
                </c:pt>
                <c:pt idx="762">
                  <c:v>1.67</c:v>
                </c:pt>
                <c:pt idx="763">
                  <c:v>1.672</c:v>
                </c:pt>
                <c:pt idx="764">
                  <c:v>1.674</c:v>
                </c:pt>
                <c:pt idx="765">
                  <c:v>1.676</c:v>
                </c:pt>
                <c:pt idx="766">
                  <c:v>1.678</c:v>
                </c:pt>
                <c:pt idx="767">
                  <c:v>1.68</c:v>
                </c:pt>
                <c:pt idx="768">
                  <c:v>1.682</c:v>
                </c:pt>
                <c:pt idx="769">
                  <c:v>1.684</c:v>
                </c:pt>
                <c:pt idx="770">
                  <c:v>1.686</c:v>
                </c:pt>
                <c:pt idx="771">
                  <c:v>1.688</c:v>
                </c:pt>
                <c:pt idx="772">
                  <c:v>1.69</c:v>
                </c:pt>
                <c:pt idx="773">
                  <c:v>1.692</c:v>
                </c:pt>
                <c:pt idx="774">
                  <c:v>1.694</c:v>
                </c:pt>
                <c:pt idx="775">
                  <c:v>1.696</c:v>
                </c:pt>
                <c:pt idx="776">
                  <c:v>1.698</c:v>
                </c:pt>
                <c:pt idx="777">
                  <c:v>1.7</c:v>
                </c:pt>
                <c:pt idx="778">
                  <c:v>1.702</c:v>
                </c:pt>
                <c:pt idx="779">
                  <c:v>1.704</c:v>
                </c:pt>
                <c:pt idx="780">
                  <c:v>1.706</c:v>
                </c:pt>
                <c:pt idx="781">
                  <c:v>1.708</c:v>
                </c:pt>
                <c:pt idx="782">
                  <c:v>1.71</c:v>
                </c:pt>
                <c:pt idx="783">
                  <c:v>1.712</c:v>
                </c:pt>
                <c:pt idx="784">
                  <c:v>1.714</c:v>
                </c:pt>
                <c:pt idx="785">
                  <c:v>1.716</c:v>
                </c:pt>
                <c:pt idx="786">
                  <c:v>1.718</c:v>
                </c:pt>
                <c:pt idx="787">
                  <c:v>1.72</c:v>
                </c:pt>
                <c:pt idx="788">
                  <c:v>1.722</c:v>
                </c:pt>
                <c:pt idx="789">
                  <c:v>1.724</c:v>
                </c:pt>
                <c:pt idx="790">
                  <c:v>1.726</c:v>
                </c:pt>
                <c:pt idx="791">
                  <c:v>1.728</c:v>
                </c:pt>
                <c:pt idx="792">
                  <c:v>1.73</c:v>
                </c:pt>
                <c:pt idx="793">
                  <c:v>1.732</c:v>
                </c:pt>
                <c:pt idx="794">
                  <c:v>1.734</c:v>
                </c:pt>
                <c:pt idx="795">
                  <c:v>1.736</c:v>
                </c:pt>
                <c:pt idx="796">
                  <c:v>1.738</c:v>
                </c:pt>
                <c:pt idx="797">
                  <c:v>1.74</c:v>
                </c:pt>
                <c:pt idx="798">
                  <c:v>1.742</c:v>
                </c:pt>
                <c:pt idx="799">
                  <c:v>1.744</c:v>
                </c:pt>
                <c:pt idx="800">
                  <c:v>1.746</c:v>
                </c:pt>
                <c:pt idx="801">
                  <c:v>1.748</c:v>
                </c:pt>
                <c:pt idx="802">
                  <c:v>1.75</c:v>
                </c:pt>
                <c:pt idx="803">
                  <c:v>1.752</c:v>
                </c:pt>
                <c:pt idx="804">
                  <c:v>1.754</c:v>
                </c:pt>
                <c:pt idx="805">
                  <c:v>1.756</c:v>
                </c:pt>
                <c:pt idx="806">
                  <c:v>1.758</c:v>
                </c:pt>
                <c:pt idx="807">
                  <c:v>1.76</c:v>
                </c:pt>
                <c:pt idx="808">
                  <c:v>1.762</c:v>
                </c:pt>
                <c:pt idx="809">
                  <c:v>1.764</c:v>
                </c:pt>
                <c:pt idx="810">
                  <c:v>1.766</c:v>
                </c:pt>
                <c:pt idx="811">
                  <c:v>1.768</c:v>
                </c:pt>
                <c:pt idx="812">
                  <c:v>1.77</c:v>
                </c:pt>
                <c:pt idx="813">
                  <c:v>1.772</c:v>
                </c:pt>
                <c:pt idx="814">
                  <c:v>1.774</c:v>
                </c:pt>
                <c:pt idx="815">
                  <c:v>1.776</c:v>
                </c:pt>
                <c:pt idx="816">
                  <c:v>1.778</c:v>
                </c:pt>
                <c:pt idx="817">
                  <c:v>1.78</c:v>
                </c:pt>
                <c:pt idx="818">
                  <c:v>1.782</c:v>
                </c:pt>
                <c:pt idx="819">
                  <c:v>1.784</c:v>
                </c:pt>
                <c:pt idx="820">
                  <c:v>1.786</c:v>
                </c:pt>
                <c:pt idx="821">
                  <c:v>1.788</c:v>
                </c:pt>
                <c:pt idx="822">
                  <c:v>1.79</c:v>
                </c:pt>
                <c:pt idx="823">
                  <c:v>1.792</c:v>
                </c:pt>
                <c:pt idx="824">
                  <c:v>1.794</c:v>
                </c:pt>
                <c:pt idx="825">
                  <c:v>1.796</c:v>
                </c:pt>
                <c:pt idx="826">
                  <c:v>1.798</c:v>
                </c:pt>
                <c:pt idx="827">
                  <c:v>1.8</c:v>
                </c:pt>
                <c:pt idx="828">
                  <c:v>1.802</c:v>
                </c:pt>
                <c:pt idx="829">
                  <c:v>1.804</c:v>
                </c:pt>
                <c:pt idx="830">
                  <c:v>1.806</c:v>
                </c:pt>
                <c:pt idx="831">
                  <c:v>1.808</c:v>
                </c:pt>
                <c:pt idx="832">
                  <c:v>1.81</c:v>
                </c:pt>
                <c:pt idx="833">
                  <c:v>1.812</c:v>
                </c:pt>
                <c:pt idx="834">
                  <c:v>1.814</c:v>
                </c:pt>
                <c:pt idx="835">
                  <c:v>1.816</c:v>
                </c:pt>
                <c:pt idx="836">
                  <c:v>1.818</c:v>
                </c:pt>
                <c:pt idx="837">
                  <c:v>1.82</c:v>
                </c:pt>
                <c:pt idx="838">
                  <c:v>1.822</c:v>
                </c:pt>
                <c:pt idx="839">
                  <c:v>1.824</c:v>
                </c:pt>
                <c:pt idx="840">
                  <c:v>1.826</c:v>
                </c:pt>
                <c:pt idx="841">
                  <c:v>1.828</c:v>
                </c:pt>
                <c:pt idx="842">
                  <c:v>1.83</c:v>
                </c:pt>
                <c:pt idx="843">
                  <c:v>1.832</c:v>
                </c:pt>
                <c:pt idx="844">
                  <c:v>1.834</c:v>
                </c:pt>
                <c:pt idx="845">
                  <c:v>1.836</c:v>
                </c:pt>
                <c:pt idx="846">
                  <c:v>1.838</c:v>
                </c:pt>
                <c:pt idx="847">
                  <c:v>1.84</c:v>
                </c:pt>
                <c:pt idx="848">
                  <c:v>1.842</c:v>
                </c:pt>
                <c:pt idx="849">
                  <c:v>1.844</c:v>
                </c:pt>
                <c:pt idx="850">
                  <c:v>1.846</c:v>
                </c:pt>
                <c:pt idx="851">
                  <c:v>1.848</c:v>
                </c:pt>
                <c:pt idx="852">
                  <c:v>1.85</c:v>
                </c:pt>
                <c:pt idx="853">
                  <c:v>1.852</c:v>
                </c:pt>
                <c:pt idx="854">
                  <c:v>1.854</c:v>
                </c:pt>
                <c:pt idx="855">
                  <c:v>1.856</c:v>
                </c:pt>
                <c:pt idx="856">
                  <c:v>1.858</c:v>
                </c:pt>
                <c:pt idx="857">
                  <c:v>1.86</c:v>
                </c:pt>
                <c:pt idx="858">
                  <c:v>1.862</c:v>
                </c:pt>
                <c:pt idx="859">
                  <c:v>1.864</c:v>
                </c:pt>
                <c:pt idx="860">
                  <c:v>1.866</c:v>
                </c:pt>
                <c:pt idx="861">
                  <c:v>1.868</c:v>
                </c:pt>
                <c:pt idx="862">
                  <c:v>1.87</c:v>
                </c:pt>
                <c:pt idx="863">
                  <c:v>1.872</c:v>
                </c:pt>
                <c:pt idx="864">
                  <c:v>1.874</c:v>
                </c:pt>
                <c:pt idx="865">
                  <c:v>1.876</c:v>
                </c:pt>
                <c:pt idx="866">
                  <c:v>1.878</c:v>
                </c:pt>
                <c:pt idx="867">
                  <c:v>1.88</c:v>
                </c:pt>
                <c:pt idx="868">
                  <c:v>1.882</c:v>
                </c:pt>
                <c:pt idx="869">
                  <c:v>1.884</c:v>
                </c:pt>
                <c:pt idx="870">
                  <c:v>1.886</c:v>
                </c:pt>
                <c:pt idx="871">
                  <c:v>1.888</c:v>
                </c:pt>
                <c:pt idx="872">
                  <c:v>1.89</c:v>
                </c:pt>
                <c:pt idx="873">
                  <c:v>1.892</c:v>
                </c:pt>
                <c:pt idx="874">
                  <c:v>1.894</c:v>
                </c:pt>
                <c:pt idx="875">
                  <c:v>1.896</c:v>
                </c:pt>
                <c:pt idx="876">
                  <c:v>1.898</c:v>
                </c:pt>
                <c:pt idx="877">
                  <c:v>1.9</c:v>
                </c:pt>
                <c:pt idx="878">
                  <c:v>1.902</c:v>
                </c:pt>
                <c:pt idx="879">
                  <c:v>1.904</c:v>
                </c:pt>
                <c:pt idx="880">
                  <c:v>1.906</c:v>
                </c:pt>
                <c:pt idx="881">
                  <c:v>1.908</c:v>
                </c:pt>
                <c:pt idx="882">
                  <c:v>1.91</c:v>
                </c:pt>
                <c:pt idx="883">
                  <c:v>1.912</c:v>
                </c:pt>
                <c:pt idx="884">
                  <c:v>1.914</c:v>
                </c:pt>
                <c:pt idx="885">
                  <c:v>1.916</c:v>
                </c:pt>
                <c:pt idx="886">
                  <c:v>1.918</c:v>
                </c:pt>
                <c:pt idx="887">
                  <c:v>1.92</c:v>
                </c:pt>
                <c:pt idx="888">
                  <c:v>1.922</c:v>
                </c:pt>
                <c:pt idx="889">
                  <c:v>1.924</c:v>
                </c:pt>
                <c:pt idx="890">
                  <c:v>1.926</c:v>
                </c:pt>
                <c:pt idx="891">
                  <c:v>1.928</c:v>
                </c:pt>
                <c:pt idx="892">
                  <c:v>1.93</c:v>
                </c:pt>
                <c:pt idx="893">
                  <c:v>1.932</c:v>
                </c:pt>
                <c:pt idx="894">
                  <c:v>1.934</c:v>
                </c:pt>
                <c:pt idx="895">
                  <c:v>1.936</c:v>
                </c:pt>
                <c:pt idx="896">
                  <c:v>1.938</c:v>
                </c:pt>
                <c:pt idx="897">
                  <c:v>1.94</c:v>
                </c:pt>
                <c:pt idx="898">
                  <c:v>1.942</c:v>
                </c:pt>
                <c:pt idx="899">
                  <c:v>1.944</c:v>
                </c:pt>
                <c:pt idx="900">
                  <c:v>1.946</c:v>
                </c:pt>
                <c:pt idx="901">
                  <c:v>1.948</c:v>
                </c:pt>
                <c:pt idx="902">
                  <c:v>1.95</c:v>
                </c:pt>
                <c:pt idx="903">
                  <c:v>1.952</c:v>
                </c:pt>
                <c:pt idx="904">
                  <c:v>1.954</c:v>
                </c:pt>
                <c:pt idx="905">
                  <c:v>1.956</c:v>
                </c:pt>
                <c:pt idx="906">
                  <c:v>1.958</c:v>
                </c:pt>
                <c:pt idx="907">
                  <c:v>1.96</c:v>
                </c:pt>
                <c:pt idx="908">
                  <c:v>1.962</c:v>
                </c:pt>
                <c:pt idx="909">
                  <c:v>1.964</c:v>
                </c:pt>
                <c:pt idx="910">
                  <c:v>1.966</c:v>
                </c:pt>
                <c:pt idx="911">
                  <c:v>1.968</c:v>
                </c:pt>
                <c:pt idx="912">
                  <c:v>1.97</c:v>
                </c:pt>
                <c:pt idx="913">
                  <c:v>1.972</c:v>
                </c:pt>
                <c:pt idx="914">
                  <c:v>1.974</c:v>
                </c:pt>
                <c:pt idx="915">
                  <c:v>1.976</c:v>
                </c:pt>
                <c:pt idx="916">
                  <c:v>1.978</c:v>
                </c:pt>
                <c:pt idx="917">
                  <c:v>1.98</c:v>
                </c:pt>
                <c:pt idx="918">
                  <c:v>1.982</c:v>
                </c:pt>
                <c:pt idx="919">
                  <c:v>1.984</c:v>
                </c:pt>
                <c:pt idx="920">
                  <c:v>1.986</c:v>
                </c:pt>
                <c:pt idx="921">
                  <c:v>1.988</c:v>
                </c:pt>
                <c:pt idx="922">
                  <c:v>1.99</c:v>
                </c:pt>
                <c:pt idx="923">
                  <c:v>1.992</c:v>
                </c:pt>
                <c:pt idx="924">
                  <c:v>1.994</c:v>
                </c:pt>
                <c:pt idx="925">
                  <c:v>1.996</c:v>
                </c:pt>
                <c:pt idx="926">
                  <c:v>1.998</c:v>
                </c:pt>
                <c:pt idx="927">
                  <c:v>2.0</c:v>
                </c:pt>
                <c:pt idx="928">
                  <c:v>2.002</c:v>
                </c:pt>
                <c:pt idx="929">
                  <c:v>2.004</c:v>
                </c:pt>
                <c:pt idx="930">
                  <c:v>2.006</c:v>
                </c:pt>
                <c:pt idx="931">
                  <c:v>2.008</c:v>
                </c:pt>
                <c:pt idx="932">
                  <c:v>2.01</c:v>
                </c:pt>
                <c:pt idx="933">
                  <c:v>2.012</c:v>
                </c:pt>
                <c:pt idx="934">
                  <c:v>2.014</c:v>
                </c:pt>
                <c:pt idx="935">
                  <c:v>2.016</c:v>
                </c:pt>
                <c:pt idx="936">
                  <c:v>2.018</c:v>
                </c:pt>
                <c:pt idx="937">
                  <c:v>2.02</c:v>
                </c:pt>
                <c:pt idx="938">
                  <c:v>2.022</c:v>
                </c:pt>
                <c:pt idx="939">
                  <c:v>2.024</c:v>
                </c:pt>
                <c:pt idx="940">
                  <c:v>2.026</c:v>
                </c:pt>
                <c:pt idx="941">
                  <c:v>2.028</c:v>
                </c:pt>
                <c:pt idx="942">
                  <c:v>2.03</c:v>
                </c:pt>
                <c:pt idx="943">
                  <c:v>2.032</c:v>
                </c:pt>
                <c:pt idx="944">
                  <c:v>2.034</c:v>
                </c:pt>
                <c:pt idx="945">
                  <c:v>2.036</c:v>
                </c:pt>
                <c:pt idx="946">
                  <c:v>2.038</c:v>
                </c:pt>
                <c:pt idx="947">
                  <c:v>2.04</c:v>
                </c:pt>
                <c:pt idx="948">
                  <c:v>2.042</c:v>
                </c:pt>
                <c:pt idx="949">
                  <c:v>2.044</c:v>
                </c:pt>
                <c:pt idx="950">
                  <c:v>2.046</c:v>
                </c:pt>
                <c:pt idx="951">
                  <c:v>2.048</c:v>
                </c:pt>
                <c:pt idx="952">
                  <c:v>2.05</c:v>
                </c:pt>
                <c:pt idx="953">
                  <c:v>2.052</c:v>
                </c:pt>
                <c:pt idx="954">
                  <c:v>2.054</c:v>
                </c:pt>
                <c:pt idx="955">
                  <c:v>2.056</c:v>
                </c:pt>
                <c:pt idx="956">
                  <c:v>2.058</c:v>
                </c:pt>
                <c:pt idx="957">
                  <c:v>2.06</c:v>
                </c:pt>
                <c:pt idx="958">
                  <c:v>2.062</c:v>
                </c:pt>
                <c:pt idx="959">
                  <c:v>2.064</c:v>
                </c:pt>
                <c:pt idx="960">
                  <c:v>2.066</c:v>
                </c:pt>
                <c:pt idx="961">
                  <c:v>2.068</c:v>
                </c:pt>
                <c:pt idx="962">
                  <c:v>2.07</c:v>
                </c:pt>
                <c:pt idx="963">
                  <c:v>2.072</c:v>
                </c:pt>
                <c:pt idx="964">
                  <c:v>2.074</c:v>
                </c:pt>
                <c:pt idx="965">
                  <c:v>2.076</c:v>
                </c:pt>
                <c:pt idx="966">
                  <c:v>2.078</c:v>
                </c:pt>
                <c:pt idx="967">
                  <c:v>2.08</c:v>
                </c:pt>
                <c:pt idx="968">
                  <c:v>2.082</c:v>
                </c:pt>
                <c:pt idx="969">
                  <c:v>2.084</c:v>
                </c:pt>
                <c:pt idx="970">
                  <c:v>2.086</c:v>
                </c:pt>
                <c:pt idx="971">
                  <c:v>2.088</c:v>
                </c:pt>
                <c:pt idx="972">
                  <c:v>2.09</c:v>
                </c:pt>
                <c:pt idx="973">
                  <c:v>2.092</c:v>
                </c:pt>
                <c:pt idx="974">
                  <c:v>2.094</c:v>
                </c:pt>
                <c:pt idx="975">
                  <c:v>2.096</c:v>
                </c:pt>
                <c:pt idx="976">
                  <c:v>2.098</c:v>
                </c:pt>
                <c:pt idx="977">
                  <c:v>2.1</c:v>
                </c:pt>
                <c:pt idx="978">
                  <c:v>2.102</c:v>
                </c:pt>
                <c:pt idx="979">
                  <c:v>2.104</c:v>
                </c:pt>
                <c:pt idx="980">
                  <c:v>2.106</c:v>
                </c:pt>
                <c:pt idx="981">
                  <c:v>2.108</c:v>
                </c:pt>
                <c:pt idx="982">
                  <c:v>2.11</c:v>
                </c:pt>
                <c:pt idx="983">
                  <c:v>2.112</c:v>
                </c:pt>
                <c:pt idx="984">
                  <c:v>2.114</c:v>
                </c:pt>
                <c:pt idx="985">
                  <c:v>2.116</c:v>
                </c:pt>
                <c:pt idx="986">
                  <c:v>2.118</c:v>
                </c:pt>
                <c:pt idx="987">
                  <c:v>2.12</c:v>
                </c:pt>
                <c:pt idx="988">
                  <c:v>2.122</c:v>
                </c:pt>
                <c:pt idx="989">
                  <c:v>2.124</c:v>
                </c:pt>
                <c:pt idx="990">
                  <c:v>2.126</c:v>
                </c:pt>
                <c:pt idx="991">
                  <c:v>2.128</c:v>
                </c:pt>
                <c:pt idx="992">
                  <c:v>2.13</c:v>
                </c:pt>
                <c:pt idx="993">
                  <c:v>2.132</c:v>
                </c:pt>
                <c:pt idx="994">
                  <c:v>2.134</c:v>
                </c:pt>
                <c:pt idx="995">
                  <c:v>2.136</c:v>
                </c:pt>
                <c:pt idx="996">
                  <c:v>2.138</c:v>
                </c:pt>
                <c:pt idx="997">
                  <c:v>2.14</c:v>
                </c:pt>
                <c:pt idx="998">
                  <c:v>2.142</c:v>
                </c:pt>
                <c:pt idx="999">
                  <c:v>2.144</c:v>
                </c:pt>
                <c:pt idx="1000">
                  <c:v>2.146</c:v>
                </c:pt>
                <c:pt idx="1001">
                  <c:v>2.148</c:v>
                </c:pt>
                <c:pt idx="1002">
                  <c:v>2.15</c:v>
                </c:pt>
                <c:pt idx="1003">
                  <c:v>2.152</c:v>
                </c:pt>
                <c:pt idx="1004">
                  <c:v>2.154</c:v>
                </c:pt>
                <c:pt idx="1005">
                  <c:v>2.156</c:v>
                </c:pt>
                <c:pt idx="1006">
                  <c:v>2.158</c:v>
                </c:pt>
                <c:pt idx="1007">
                  <c:v>2.16</c:v>
                </c:pt>
                <c:pt idx="1008">
                  <c:v>2.162</c:v>
                </c:pt>
                <c:pt idx="1009">
                  <c:v>2.164</c:v>
                </c:pt>
                <c:pt idx="1010">
                  <c:v>2.166</c:v>
                </c:pt>
                <c:pt idx="1011">
                  <c:v>2.168</c:v>
                </c:pt>
                <c:pt idx="1012">
                  <c:v>2.17</c:v>
                </c:pt>
                <c:pt idx="1013">
                  <c:v>2.172</c:v>
                </c:pt>
                <c:pt idx="1014">
                  <c:v>2.174</c:v>
                </c:pt>
                <c:pt idx="1015">
                  <c:v>2.176</c:v>
                </c:pt>
                <c:pt idx="1016">
                  <c:v>2.178</c:v>
                </c:pt>
                <c:pt idx="1017">
                  <c:v>2.18</c:v>
                </c:pt>
                <c:pt idx="1018">
                  <c:v>2.182</c:v>
                </c:pt>
                <c:pt idx="1019">
                  <c:v>2.184</c:v>
                </c:pt>
                <c:pt idx="1020">
                  <c:v>2.186</c:v>
                </c:pt>
                <c:pt idx="1021">
                  <c:v>2.188</c:v>
                </c:pt>
                <c:pt idx="1022">
                  <c:v>2.19</c:v>
                </c:pt>
                <c:pt idx="1023">
                  <c:v>2.192</c:v>
                </c:pt>
                <c:pt idx="1024">
                  <c:v>2.194</c:v>
                </c:pt>
                <c:pt idx="1025">
                  <c:v>2.196</c:v>
                </c:pt>
                <c:pt idx="1026">
                  <c:v>2.198</c:v>
                </c:pt>
                <c:pt idx="1027">
                  <c:v>2.2</c:v>
                </c:pt>
                <c:pt idx="1028">
                  <c:v>2.202</c:v>
                </c:pt>
                <c:pt idx="1029">
                  <c:v>2.204</c:v>
                </c:pt>
                <c:pt idx="1030">
                  <c:v>2.206</c:v>
                </c:pt>
                <c:pt idx="1031">
                  <c:v>2.208</c:v>
                </c:pt>
                <c:pt idx="1032">
                  <c:v>2.21</c:v>
                </c:pt>
                <c:pt idx="1033">
                  <c:v>2.212</c:v>
                </c:pt>
                <c:pt idx="1034">
                  <c:v>2.214</c:v>
                </c:pt>
                <c:pt idx="1035">
                  <c:v>2.216</c:v>
                </c:pt>
                <c:pt idx="1036">
                  <c:v>2.218</c:v>
                </c:pt>
                <c:pt idx="1037">
                  <c:v>2.22</c:v>
                </c:pt>
                <c:pt idx="1038">
                  <c:v>2.222</c:v>
                </c:pt>
                <c:pt idx="1039">
                  <c:v>2.224</c:v>
                </c:pt>
                <c:pt idx="1040">
                  <c:v>2.226</c:v>
                </c:pt>
                <c:pt idx="1041">
                  <c:v>2.228</c:v>
                </c:pt>
                <c:pt idx="1042">
                  <c:v>2.23</c:v>
                </c:pt>
                <c:pt idx="1043">
                  <c:v>2.232</c:v>
                </c:pt>
                <c:pt idx="1044">
                  <c:v>2.234</c:v>
                </c:pt>
                <c:pt idx="1045">
                  <c:v>2.236</c:v>
                </c:pt>
                <c:pt idx="1046">
                  <c:v>2.238</c:v>
                </c:pt>
                <c:pt idx="1047">
                  <c:v>2.24</c:v>
                </c:pt>
                <c:pt idx="1048">
                  <c:v>2.242</c:v>
                </c:pt>
                <c:pt idx="1049">
                  <c:v>2.244</c:v>
                </c:pt>
                <c:pt idx="1050">
                  <c:v>2.246</c:v>
                </c:pt>
                <c:pt idx="1051">
                  <c:v>2.248</c:v>
                </c:pt>
                <c:pt idx="1052">
                  <c:v>2.25</c:v>
                </c:pt>
                <c:pt idx="1053">
                  <c:v>2.252</c:v>
                </c:pt>
                <c:pt idx="1054">
                  <c:v>2.254</c:v>
                </c:pt>
                <c:pt idx="1055">
                  <c:v>2.256</c:v>
                </c:pt>
                <c:pt idx="1056">
                  <c:v>2.258</c:v>
                </c:pt>
                <c:pt idx="1057">
                  <c:v>2.26</c:v>
                </c:pt>
                <c:pt idx="1058">
                  <c:v>2.262</c:v>
                </c:pt>
                <c:pt idx="1059">
                  <c:v>2.264</c:v>
                </c:pt>
                <c:pt idx="1060">
                  <c:v>2.266</c:v>
                </c:pt>
                <c:pt idx="1061">
                  <c:v>2.268</c:v>
                </c:pt>
                <c:pt idx="1062">
                  <c:v>2.27</c:v>
                </c:pt>
                <c:pt idx="1063">
                  <c:v>2.272</c:v>
                </c:pt>
                <c:pt idx="1064">
                  <c:v>2.274</c:v>
                </c:pt>
                <c:pt idx="1065">
                  <c:v>2.276</c:v>
                </c:pt>
                <c:pt idx="1066">
                  <c:v>2.278</c:v>
                </c:pt>
                <c:pt idx="1067">
                  <c:v>2.28</c:v>
                </c:pt>
                <c:pt idx="1068">
                  <c:v>2.282</c:v>
                </c:pt>
                <c:pt idx="1069">
                  <c:v>2.284</c:v>
                </c:pt>
                <c:pt idx="1070">
                  <c:v>2.286</c:v>
                </c:pt>
                <c:pt idx="1071">
                  <c:v>2.288</c:v>
                </c:pt>
                <c:pt idx="1072">
                  <c:v>2.29</c:v>
                </c:pt>
                <c:pt idx="1073">
                  <c:v>2.292</c:v>
                </c:pt>
                <c:pt idx="1074">
                  <c:v>2.294</c:v>
                </c:pt>
                <c:pt idx="1075">
                  <c:v>2.296</c:v>
                </c:pt>
                <c:pt idx="1076">
                  <c:v>2.298</c:v>
                </c:pt>
                <c:pt idx="1077">
                  <c:v>2.3</c:v>
                </c:pt>
                <c:pt idx="1078">
                  <c:v>2.302</c:v>
                </c:pt>
                <c:pt idx="1079">
                  <c:v>2.304</c:v>
                </c:pt>
                <c:pt idx="1080">
                  <c:v>2.306</c:v>
                </c:pt>
                <c:pt idx="1081">
                  <c:v>2.308</c:v>
                </c:pt>
                <c:pt idx="1082">
                  <c:v>2.31</c:v>
                </c:pt>
                <c:pt idx="1083">
                  <c:v>2.312</c:v>
                </c:pt>
                <c:pt idx="1084">
                  <c:v>2.314</c:v>
                </c:pt>
                <c:pt idx="1085">
                  <c:v>2.316</c:v>
                </c:pt>
                <c:pt idx="1086">
                  <c:v>2.318</c:v>
                </c:pt>
                <c:pt idx="1087">
                  <c:v>2.32</c:v>
                </c:pt>
                <c:pt idx="1088">
                  <c:v>2.322</c:v>
                </c:pt>
                <c:pt idx="1089">
                  <c:v>2.324</c:v>
                </c:pt>
                <c:pt idx="1090">
                  <c:v>2.326</c:v>
                </c:pt>
                <c:pt idx="1091">
                  <c:v>2.328</c:v>
                </c:pt>
                <c:pt idx="1092">
                  <c:v>2.33</c:v>
                </c:pt>
                <c:pt idx="1093">
                  <c:v>2.332</c:v>
                </c:pt>
                <c:pt idx="1094">
                  <c:v>2.334</c:v>
                </c:pt>
                <c:pt idx="1095">
                  <c:v>2.336</c:v>
                </c:pt>
                <c:pt idx="1096">
                  <c:v>2.338</c:v>
                </c:pt>
                <c:pt idx="1097">
                  <c:v>2.34</c:v>
                </c:pt>
                <c:pt idx="1098">
                  <c:v>2.342</c:v>
                </c:pt>
                <c:pt idx="1099">
                  <c:v>2.344</c:v>
                </c:pt>
                <c:pt idx="1100">
                  <c:v>2.346</c:v>
                </c:pt>
                <c:pt idx="1101">
                  <c:v>2.348</c:v>
                </c:pt>
                <c:pt idx="1102">
                  <c:v>2.35</c:v>
                </c:pt>
                <c:pt idx="1103">
                  <c:v>2.352</c:v>
                </c:pt>
                <c:pt idx="1104">
                  <c:v>2.354</c:v>
                </c:pt>
                <c:pt idx="1105">
                  <c:v>2.356</c:v>
                </c:pt>
                <c:pt idx="1106">
                  <c:v>2.358</c:v>
                </c:pt>
                <c:pt idx="1107">
                  <c:v>2.36</c:v>
                </c:pt>
                <c:pt idx="1108">
                  <c:v>2.362</c:v>
                </c:pt>
                <c:pt idx="1109">
                  <c:v>2.364</c:v>
                </c:pt>
                <c:pt idx="1110">
                  <c:v>2.366</c:v>
                </c:pt>
                <c:pt idx="1111">
                  <c:v>2.368</c:v>
                </c:pt>
                <c:pt idx="1112">
                  <c:v>2.37</c:v>
                </c:pt>
                <c:pt idx="1113">
                  <c:v>2.372</c:v>
                </c:pt>
                <c:pt idx="1114">
                  <c:v>2.374</c:v>
                </c:pt>
                <c:pt idx="1115">
                  <c:v>2.376</c:v>
                </c:pt>
                <c:pt idx="1116">
                  <c:v>2.378</c:v>
                </c:pt>
                <c:pt idx="1117">
                  <c:v>2.38</c:v>
                </c:pt>
                <c:pt idx="1118">
                  <c:v>2.382</c:v>
                </c:pt>
                <c:pt idx="1119">
                  <c:v>2.384</c:v>
                </c:pt>
                <c:pt idx="1120">
                  <c:v>2.386</c:v>
                </c:pt>
                <c:pt idx="1121">
                  <c:v>2.388</c:v>
                </c:pt>
                <c:pt idx="1122">
                  <c:v>2.39</c:v>
                </c:pt>
                <c:pt idx="1123">
                  <c:v>2.392</c:v>
                </c:pt>
                <c:pt idx="1124">
                  <c:v>2.394</c:v>
                </c:pt>
                <c:pt idx="1125">
                  <c:v>2.396</c:v>
                </c:pt>
                <c:pt idx="1126">
                  <c:v>2.398</c:v>
                </c:pt>
                <c:pt idx="1127">
                  <c:v>2.4</c:v>
                </c:pt>
                <c:pt idx="1128">
                  <c:v>2.402</c:v>
                </c:pt>
                <c:pt idx="1129">
                  <c:v>2.404</c:v>
                </c:pt>
                <c:pt idx="1130">
                  <c:v>2.406</c:v>
                </c:pt>
                <c:pt idx="1131">
                  <c:v>2.408</c:v>
                </c:pt>
                <c:pt idx="1132">
                  <c:v>2.41</c:v>
                </c:pt>
                <c:pt idx="1133">
                  <c:v>2.412</c:v>
                </c:pt>
                <c:pt idx="1134">
                  <c:v>2.414</c:v>
                </c:pt>
                <c:pt idx="1135">
                  <c:v>2.416</c:v>
                </c:pt>
                <c:pt idx="1136">
                  <c:v>2.418</c:v>
                </c:pt>
                <c:pt idx="1137">
                  <c:v>2.42</c:v>
                </c:pt>
                <c:pt idx="1138">
                  <c:v>2.422</c:v>
                </c:pt>
                <c:pt idx="1139">
                  <c:v>2.424</c:v>
                </c:pt>
                <c:pt idx="1140">
                  <c:v>2.426</c:v>
                </c:pt>
                <c:pt idx="1141">
                  <c:v>2.428</c:v>
                </c:pt>
                <c:pt idx="1142">
                  <c:v>2.43</c:v>
                </c:pt>
                <c:pt idx="1143">
                  <c:v>2.432</c:v>
                </c:pt>
                <c:pt idx="1144">
                  <c:v>2.434</c:v>
                </c:pt>
                <c:pt idx="1145">
                  <c:v>2.436</c:v>
                </c:pt>
                <c:pt idx="1146">
                  <c:v>2.438</c:v>
                </c:pt>
                <c:pt idx="1147">
                  <c:v>2.44</c:v>
                </c:pt>
                <c:pt idx="1148">
                  <c:v>2.442</c:v>
                </c:pt>
                <c:pt idx="1149">
                  <c:v>2.444</c:v>
                </c:pt>
                <c:pt idx="1150">
                  <c:v>2.446</c:v>
                </c:pt>
                <c:pt idx="1151">
                  <c:v>2.448</c:v>
                </c:pt>
                <c:pt idx="1152">
                  <c:v>2.45</c:v>
                </c:pt>
                <c:pt idx="1153">
                  <c:v>2.452</c:v>
                </c:pt>
                <c:pt idx="1154">
                  <c:v>2.454</c:v>
                </c:pt>
                <c:pt idx="1155">
                  <c:v>2.456</c:v>
                </c:pt>
                <c:pt idx="1156">
                  <c:v>2.458</c:v>
                </c:pt>
                <c:pt idx="1157">
                  <c:v>2.46</c:v>
                </c:pt>
                <c:pt idx="1158">
                  <c:v>2.462</c:v>
                </c:pt>
                <c:pt idx="1159">
                  <c:v>2.464</c:v>
                </c:pt>
                <c:pt idx="1160">
                  <c:v>2.466</c:v>
                </c:pt>
                <c:pt idx="1161">
                  <c:v>2.468</c:v>
                </c:pt>
                <c:pt idx="1162">
                  <c:v>2.47</c:v>
                </c:pt>
                <c:pt idx="1163">
                  <c:v>2.472</c:v>
                </c:pt>
                <c:pt idx="1164">
                  <c:v>2.474</c:v>
                </c:pt>
                <c:pt idx="1165">
                  <c:v>2.476</c:v>
                </c:pt>
                <c:pt idx="1166">
                  <c:v>2.478</c:v>
                </c:pt>
                <c:pt idx="1167">
                  <c:v>2.48</c:v>
                </c:pt>
                <c:pt idx="1168">
                  <c:v>2.482</c:v>
                </c:pt>
                <c:pt idx="1169">
                  <c:v>2.484</c:v>
                </c:pt>
                <c:pt idx="1170">
                  <c:v>2.486</c:v>
                </c:pt>
                <c:pt idx="1171">
                  <c:v>2.488</c:v>
                </c:pt>
                <c:pt idx="1172">
                  <c:v>2.49</c:v>
                </c:pt>
                <c:pt idx="1173">
                  <c:v>2.492</c:v>
                </c:pt>
                <c:pt idx="1174">
                  <c:v>2.494</c:v>
                </c:pt>
                <c:pt idx="1175">
                  <c:v>2.496</c:v>
                </c:pt>
                <c:pt idx="1176">
                  <c:v>2.498</c:v>
                </c:pt>
                <c:pt idx="1177">
                  <c:v>2.5</c:v>
                </c:pt>
                <c:pt idx="1178">
                  <c:v>2.502</c:v>
                </c:pt>
                <c:pt idx="1179">
                  <c:v>2.504</c:v>
                </c:pt>
                <c:pt idx="1180">
                  <c:v>2.506</c:v>
                </c:pt>
                <c:pt idx="1181">
                  <c:v>2.508</c:v>
                </c:pt>
                <c:pt idx="1182">
                  <c:v>2.51</c:v>
                </c:pt>
                <c:pt idx="1183">
                  <c:v>2.512</c:v>
                </c:pt>
                <c:pt idx="1184">
                  <c:v>2.514</c:v>
                </c:pt>
                <c:pt idx="1185">
                  <c:v>2.516</c:v>
                </c:pt>
                <c:pt idx="1186">
                  <c:v>2.518</c:v>
                </c:pt>
                <c:pt idx="1187">
                  <c:v>2.52</c:v>
                </c:pt>
                <c:pt idx="1188">
                  <c:v>2.522</c:v>
                </c:pt>
                <c:pt idx="1189">
                  <c:v>2.524</c:v>
                </c:pt>
                <c:pt idx="1190">
                  <c:v>2.526</c:v>
                </c:pt>
                <c:pt idx="1191">
                  <c:v>2.528</c:v>
                </c:pt>
                <c:pt idx="1192">
                  <c:v>2.53</c:v>
                </c:pt>
                <c:pt idx="1193">
                  <c:v>2.532</c:v>
                </c:pt>
                <c:pt idx="1194">
                  <c:v>2.534</c:v>
                </c:pt>
                <c:pt idx="1195">
                  <c:v>2.536</c:v>
                </c:pt>
                <c:pt idx="1196">
                  <c:v>2.538</c:v>
                </c:pt>
                <c:pt idx="1197">
                  <c:v>2.54</c:v>
                </c:pt>
                <c:pt idx="1198">
                  <c:v>2.542</c:v>
                </c:pt>
                <c:pt idx="1199">
                  <c:v>2.544</c:v>
                </c:pt>
                <c:pt idx="1200">
                  <c:v>2.546</c:v>
                </c:pt>
                <c:pt idx="1201">
                  <c:v>2.548</c:v>
                </c:pt>
                <c:pt idx="1202">
                  <c:v>2.55</c:v>
                </c:pt>
                <c:pt idx="1203">
                  <c:v>2.552</c:v>
                </c:pt>
                <c:pt idx="1204">
                  <c:v>2.554</c:v>
                </c:pt>
                <c:pt idx="1205">
                  <c:v>2.556</c:v>
                </c:pt>
                <c:pt idx="1206">
                  <c:v>2.558</c:v>
                </c:pt>
                <c:pt idx="1207">
                  <c:v>2.56</c:v>
                </c:pt>
                <c:pt idx="1208">
                  <c:v>2.562</c:v>
                </c:pt>
                <c:pt idx="1209">
                  <c:v>2.564</c:v>
                </c:pt>
                <c:pt idx="1210">
                  <c:v>2.566</c:v>
                </c:pt>
                <c:pt idx="1211">
                  <c:v>2.568</c:v>
                </c:pt>
                <c:pt idx="1212">
                  <c:v>2.57</c:v>
                </c:pt>
                <c:pt idx="1213">
                  <c:v>2.572</c:v>
                </c:pt>
                <c:pt idx="1214">
                  <c:v>2.574</c:v>
                </c:pt>
                <c:pt idx="1215">
                  <c:v>2.576</c:v>
                </c:pt>
                <c:pt idx="1216">
                  <c:v>2.578</c:v>
                </c:pt>
                <c:pt idx="1217">
                  <c:v>2.58</c:v>
                </c:pt>
                <c:pt idx="1218">
                  <c:v>2.582</c:v>
                </c:pt>
                <c:pt idx="1219">
                  <c:v>2.584</c:v>
                </c:pt>
                <c:pt idx="1220">
                  <c:v>2.586</c:v>
                </c:pt>
                <c:pt idx="1221">
                  <c:v>2.588</c:v>
                </c:pt>
                <c:pt idx="1222">
                  <c:v>2.59</c:v>
                </c:pt>
                <c:pt idx="1223">
                  <c:v>2.592</c:v>
                </c:pt>
                <c:pt idx="1224">
                  <c:v>2.594</c:v>
                </c:pt>
                <c:pt idx="1225">
                  <c:v>2.596</c:v>
                </c:pt>
                <c:pt idx="1226">
                  <c:v>2.598</c:v>
                </c:pt>
                <c:pt idx="1227">
                  <c:v>2.6</c:v>
                </c:pt>
              </c:numCache>
            </c:numRef>
          </c:xVal>
          <c:yVal>
            <c:numRef>
              <c:f>dichroic!$H$5:$H$1238</c:f>
              <c:numCache>
                <c:formatCode>General</c:formatCode>
                <c:ptCount val="1234"/>
                <c:pt idx="0">
                  <c:v>0.10654663975</c:v>
                </c:pt>
                <c:pt idx="1">
                  <c:v>0.1170300493</c:v>
                </c:pt>
                <c:pt idx="2">
                  <c:v>0.1045573263</c:v>
                </c:pt>
                <c:pt idx="3">
                  <c:v>0.10417105735</c:v>
                </c:pt>
                <c:pt idx="4">
                  <c:v>0.0855386973</c:v>
                </c:pt>
                <c:pt idx="5">
                  <c:v>0.0719959793409091</c:v>
                </c:pt>
                <c:pt idx="6">
                  <c:v>0.0756205128772727</c:v>
                </c:pt>
                <c:pt idx="7">
                  <c:v>0.0818429516136364</c:v>
                </c:pt>
                <c:pt idx="8">
                  <c:v>0.0921458039409091</c:v>
                </c:pt>
                <c:pt idx="9">
                  <c:v>0.105834029795455</c:v>
                </c:pt>
                <c:pt idx="10">
                  <c:v>0.123958375409091</c:v>
                </c:pt>
                <c:pt idx="11">
                  <c:v>0.145006567418182</c:v>
                </c:pt>
                <c:pt idx="12">
                  <c:v>0.167799380668182</c:v>
                </c:pt>
                <c:pt idx="13">
                  <c:v>0.190673435668182</c:v>
                </c:pt>
                <c:pt idx="14">
                  <c:v>0.212903665968182</c:v>
                </c:pt>
                <c:pt idx="15">
                  <c:v>0.233713567236364</c:v>
                </c:pt>
                <c:pt idx="16">
                  <c:v>0.2526918915</c:v>
                </c:pt>
                <c:pt idx="17">
                  <c:v>0.269608046604545</c:v>
                </c:pt>
                <c:pt idx="18">
                  <c:v>0.284283787345455</c:v>
                </c:pt>
                <c:pt idx="19">
                  <c:v>0.296741285036364</c:v>
                </c:pt>
                <c:pt idx="20">
                  <c:v>0.306937164913636</c:v>
                </c:pt>
                <c:pt idx="21">
                  <c:v>0.314958544654545</c:v>
                </c:pt>
                <c:pt idx="22">
                  <c:v>0.320864792290909</c:v>
                </c:pt>
                <c:pt idx="23">
                  <c:v>0.324777100631818</c:v>
                </c:pt>
                <c:pt idx="24">
                  <c:v>0.3267684873</c:v>
                </c:pt>
                <c:pt idx="25">
                  <c:v>0.326935564986364</c:v>
                </c:pt>
                <c:pt idx="26">
                  <c:v>0.325300263490909</c:v>
                </c:pt>
                <c:pt idx="27">
                  <c:v>0.322076740281818</c:v>
                </c:pt>
                <c:pt idx="28">
                  <c:v>0.317301033354545</c:v>
                </c:pt>
                <c:pt idx="29">
                  <c:v>0.310984587018182</c:v>
                </c:pt>
                <c:pt idx="30">
                  <c:v>0.303228068136364</c:v>
                </c:pt>
                <c:pt idx="31">
                  <c:v>0.294123885977273</c:v>
                </c:pt>
                <c:pt idx="32">
                  <c:v>0.283803827386364</c:v>
                </c:pt>
                <c:pt idx="33">
                  <c:v>0.272365902577273</c:v>
                </c:pt>
                <c:pt idx="34">
                  <c:v>0.259896879168182</c:v>
                </c:pt>
                <c:pt idx="35">
                  <c:v>0.246548884518182</c:v>
                </c:pt>
                <c:pt idx="36">
                  <c:v>0.232455468431818</c:v>
                </c:pt>
                <c:pt idx="37">
                  <c:v>0.217767675527273</c:v>
                </c:pt>
                <c:pt idx="38">
                  <c:v>0.202572401868182</c:v>
                </c:pt>
                <c:pt idx="39">
                  <c:v>0.187001252486364</c:v>
                </c:pt>
                <c:pt idx="40">
                  <c:v>0.171198785504545</c:v>
                </c:pt>
                <c:pt idx="41">
                  <c:v>0.155336894409091</c:v>
                </c:pt>
                <c:pt idx="42">
                  <c:v>0.139571602436364</c:v>
                </c:pt>
                <c:pt idx="43">
                  <c:v>0.124127957781818</c:v>
                </c:pt>
                <c:pt idx="44">
                  <c:v>0.109291017090909</c:v>
                </c:pt>
                <c:pt idx="45">
                  <c:v>0.0954113469045454</c:v>
                </c:pt>
                <c:pt idx="46">
                  <c:v>0.0829650393454545</c:v>
                </c:pt>
                <c:pt idx="47">
                  <c:v>0.0724757032136364</c:v>
                </c:pt>
                <c:pt idx="48">
                  <c:v>0.0643989661954545</c:v>
                </c:pt>
                <c:pt idx="49">
                  <c:v>0.0589181299045455</c:v>
                </c:pt>
                <c:pt idx="50">
                  <c:v>0.0559584725545454</c:v>
                </c:pt>
                <c:pt idx="51">
                  <c:v>0.0550111493363636</c:v>
                </c:pt>
                <c:pt idx="52">
                  <c:v>0.0560931638954545</c:v>
                </c:pt>
                <c:pt idx="53">
                  <c:v>0.06125905555</c:v>
                </c:pt>
                <c:pt idx="54">
                  <c:v>0.0736007280045454</c:v>
                </c:pt>
                <c:pt idx="55">
                  <c:v>0.0949782161681818</c:v>
                </c:pt>
                <c:pt idx="56">
                  <c:v>0.125301809936364</c:v>
                </c:pt>
                <c:pt idx="57">
                  <c:v>0.163078803072727</c:v>
                </c:pt>
                <c:pt idx="58">
                  <c:v>0.206302891145455</c:v>
                </c:pt>
                <c:pt idx="59">
                  <c:v>0.253019781990909</c:v>
                </c:pt>
                <c:pt idx="60">
                  <c:v>0.3016527769</c:v>
                </c:pt>
                <c:pt idx="61">
                  <c:v>0.35123692035</c:v>
                </c:pt>
                <c:pt idx="62">
                  <c:v>0.40153013065</c:v>
                </c:pt>
                <c:pt idx="63">
                  <c:v>0.451804393436364</c:v>
                </c:pt>
                <c:pt idx="64">
                  <c:v>0.499483349781818</c:v>
                </c:pt>
                <c:pt idx="65">
                  <c:v>0.540911767686364</c:v>
                </c:pt>
                <c:pt idx="66">
                  <c:v>0.573652346709091</c:v>
                </c:pt>
                <c:pt idx="67">
                  <c:v>0.597268850809091</c:v>
                </c:pt>
                <c:pt idx="68">
                  <c:v>0.612725615895454</c:v>
                </c:pt>
                <c:pt idx="69">
                  <c:v>0.621549712790909</c:v>
                </c:pt>
                <c:pt idx="70">
                  <c:v>0.625354252681818</c:v>
                </c:pt>
                <c:pt idx="71">
                  <c:v>0.625637778836364</c:v>
                </c:pt>
                <c:pt idx="72">
                  <c:v>0.623689753363636</c:v>
                </c:pt>
                <c:pt idx="73">
                  <c:v>0.620542946463636</c:v>
                </c:pt>
                <c:pt idx="74">
                  <c:v>0.617208573922727</c:v>
                </c:pt>
                <c:pt idx="75">
                  <c:v>0.614678442695454</c:v>
                </c:pt>
                <c:pt idx="76">
                  <c:v>0.61390766685</c:v>
                </c:pt>
                <c:pt idx="77">
                  <c:v>0.615811526081818</c:v>
                </c:pt>
                <c:pt idx="78">
                  <c:v>0.621035874890909</c:v>
                </c:pt>
                <c:pt idx="79">
                  <c:v>0.629896927895454</c:v>
                </c:pt>
                <c:pt idx="80">
                  <c:v>0.642392652581818</c:v>
                </c:pt>
                <c:pt idx="81">
                  <c:v>0.658232354272727</c:v>
                </c:pt>
                <c:pt idx="82">
                  <c:v>0.677212666727273</c:v>
                </c:pt>
                <c:pt idx="83">
                  <c:v>0.698818346381818</c:v>
                </c:pt>
                <c:pt idx="84">
                  <c:v>0.722165297745454</c:v>
                </c:pt>
                <c:pt idx="85">
                  <c:v>0.746560999913636</c:v>
                </c:pt>
                <c:pt idx="86">
                  <c:v>0.7712184106</c:v>
                </c:pt>
                <c:pt idx="87">
                  <c:v>0.795348499327272</c:v>
                </c:pt>
                <c:pt idx="88">
                  <c:v>0.818194242959091</c:v>
                </c:pt>
                <c:pt idx="89">
                  <c:v>0.839174215054545</c:v>
                </c:pt>
                <c:pt idx="90">
                  <c:v>0.8579340934</c:v>
                </c:pt>
                <c:pt idx="91">
                  <c:v>0.874336707295454</c:v>
                </c:pt>
                <c:pt idx="92">
                  <c:v>0.888475102809091</c:v>
                </c:pt>
                <c:pt idx="93">
                  <c:v>0.900309139831818</c:v>
                </c:pt>
                <c:pt idx="94">
                  <c:v>0.910076624268182</c:v>
                </c:pt>
                <c:pt idx="95">
                  <c:v>0.918342885268182</c:v>
                </c:pt>
                <c:pt idx="96">
                  <c:v>0.925348616045455</c:v>
                </c:pt>
                <c:pt idx="97">
                  <c:v>0.931304473477273</c:v>
                </c:pt>
                <c:pt idx="98">
                  <c:v>0.936395592690909</c:v>
                </c:pt>
                <c:pt idx="99">
                  <c:v>0.940786003054545</c:v>
                </c:pt>
                <c:pt idx="100">
                  <c:v>0.944576471836364</c:v>
                </c:pt>
                <c:pt idx="101">
                  <c:v>0.947874230186364</c:v>
                </c:pt>
                <c:pt idx="102">
                  <c:v>0.950753596463637</c:v>
                </c:pt>
                <c:pt idx="103">
                  <c:v>0.953288044181818</c:v>
                </c:pt>
                <c:pt idx="104">
                  <c:v>0.955560313018182</c:v>
                </c:pt>
                <c:pt idx="105">
                  <c:v>0.957600271063636</c:v>
                </c:pt>
                <c:pt idx="106">
                  <c:v>0.959423340818182</c:v>
                </c:pt>
                <c:pt idx="107">
                  <c:v>0.961058019986364</c:v>
                </c:pt>
                <c:pt idx="108">
                  <c:v>0.962540108668182</c:v>
                </c:pt>
                <c:pt idx="109">
                  <c:v>0.963896532468182</c:v>
                </c:pt>
                <c:pt idx="110">
                  <c:v>0.965140827004545</c:v>
                </c:pt>
                <c:pt idx="111">
                  <c:v>0.966292803631818</c:v>
                </c:pt>
                <c:pt idx="112">
                  <c:v>0.967346277068182</c:v>
                </c:pt>
                <c:pt idx="113">
                  <c:v>0.968313331136363</c:v>
                </c:pt>
                <c:pt idx="114">
                  <c:v>0.969225165418182</c:v>
                </c:pt>
                <c:pt idx="115">
                  <c:v>0.970058840640909</c:v>
                </c:pt>
                <c:pt idx="116">
                  <c:v>0.970829841718182</c:v>
                </c:pt>
                <c:pt idx="117">
                  <c:v>0.971545336268182</c:v>
                </c:pt>
                <c:pt idx="118">
                  <c:v>0.972202113154545</c:v>
                </c:pt>
                <c:pt idx="119">
                  <c:v>0.972815069336364</c:v>
                </c:pt>
                <c:pt idx="120">
                  <c:v>0.973395546004545</c:v>
                </c:pt>
                <c:pt idx="121">
                  <c:v>0.973928440868182</c:v>
                </c:pt>
                <c:pt idx="122">
                  <c:v>0.974430776568182</c:v>
                </c:pt>
                <c:pt idx="123">
                  <c:v>0.974913186940909</c:v>
                </c:pt>
                <c:pt idx="124">
                  <c:v>0.975380334013636</c:v>
                </c:pt>
                <c:pt idx="125">
                  <c:v>0.975808186727273</c:v>
                </c:pt>
                <c:pt idx="126">
                  <c:v>0.976211433995455</c:v>
                </c:pt>
                <c:pt idx="127">
                  <c:v>0.976587399268182</c:v>
                </c:pt>
                <c:pt idx="128">
                  <c:v>0.976939097395455</c:v>
                </c:pt>
                <c:pt idx="129">
                  <c:v>0.977294926581818</c:v>
                </c:pt>
                <c:pt idx="130">
                  <c:v>0.977649145677273</c:v>
                </c:pt>
                <c:pt idx="131">
                  <c:v>0.977968252127273</c:v>
                </c:pt>
                <c:pt idx="132">
                  <c:v>0.978272717604545</c:v>
                </c:pt>
                <c:pt idx="133">
                  <c:v>0.978544752413636</c:v>
                </c:pt>
                <c:pt idx="134">
                  <c:v>0.978802926872727</c:v>
                </c:pt>
                <c:pt idx="135">
                  <c:v>0.979032835190909</c:v>
                </c:pt>
                <c:pt idx="136">
                  <c:v>0.979255802027273</c:v>
                </c:pt>
                <c:pt idx="137">
                  <c:v>0.979481050127273</c:v>
                </c:pt>
                <c:pt idx="138">
                  <c:v>0.979695840777273</c:v>
                </c:pt>
                <c:pt idx="139">
                  <c:v>0.979922319963636</c:v>
                </c:pt>
                <c:pt idx="140">
                  <c:v>0.98012593405</c:v>
                </c:pt>
                <c:pt idx="141">
                  <c:v>0.980288406695455</c:v>
                </c:pt>
                <c:pt idx="142">
                  <c:v>0.980443331813636</c:v>
                </c:pt>
                <c:pt idx="143">
                  <c:v>0.980595181477273</c:v>
                </c:pt>
                <c:pt idx="144">
                  <c:v>0.980749033804545</c:v>
                </c:pt>
                <c:pt idx="145">
                  <c:v>0.980883760422727</c:v>
                </c:pt>
                <c:pt idx="146">
                  <c:v>0.981019834813637</c:v>
                </c:pt>
                <c:pt idx="147">
                  <c:v>0.981153882118182</c:v>
                </c:pt>
                <c:pt idx="148">
                  <c:v>0.981264894268182</c:v>
                </c:pt>
                <c:pt idx="149">
                  <c:v>0.981362613218182</c:v>
                </c:pt>
                <c:pt idx="150">
                  <c:v>0.981443947231818</c:v>
                </c:pt>
                <c:pt idx="151">
                  <c:v>0.981523066013636</c:v>
                </c:pt>
                <c:pt idx="152">
                  <c:v>0.981617138740909</c:v>
                </c:pt>
                <c:pt idx="153">
                  <c:v>0.981721930331818</c:v>
                </c:pt>
                <c:pt idx="154">
                  <c:v>0.981804948609091</c:v>
                </c:pt>
                <c:pt idx="155">
                  <c:v>0.981891285663636</c:v>
                </c:pt>
                <c:pt idx="156">
                  <c:v>0.981978349972727</c:v>
                </c:pt>
                <c:pt idx="157">
                  <c:v>0.982061522022727</c:v>
                </c:pt>
                <c:pt idx="158">
                  <c:v>0.982132518890909</c:v>
                </c:pt>
                <c:pt idx="159">
                  <c:v>0.982212055572727</c:v>
                </c:pt>
                <c:pt idx="160">
                  <c:v>0.982298236140909</c:v>
                </c:pt>
                <c:pt idx="161">
                  <c:v>0.982388081022727</c:v>
                </c:pt>
                <c:pt idx="162">
                  <c:v>0.982458961204545</c:v>
                </c:pt>
                <c:pt idx="163">
                  <c:v>0.982524179836364</c:v>
                </c:pt>
                <c:pt idx="164">
                  <c:v>0.982571599727273</c:v>
                </c:pt>
                <c:pt idx="165">
                  <c:v>0.982642194072727</c:v>
                </c:pt>
                <c:pt idx="166">
                  <c:v>0.982695120836364</c:v>
                </c:pt>
                <c:pt idx="167">
                  <c:v>0.982741990763636</c:v>
                </c:pt>
                <c:pt idx="168">
                  <c:v>0.982789719104545</c:v>
                </c:pt>
                <c:pt idx="169">
                  <c:v>0.982828323295454</c:v>
                </c:pt>
                <c:pt idx="170">
                  <c:v>0.982867440363636</c:v>
                </c:pt>
                <c:pt idx="171">
                  <c:v>0.982896583913636</c:v>
                </c:pt>
                <c:pt idx="172">
                  <c:v>0.982904997995454</c:v>
                </c:pt>
                <c:pt idx="173">
                  <c:v>0.982945540627273</c:v>
                </c:pt>
                <c:pt idx="174">
                  <c:v>0.982974096222727</c:v>
                </c:pt>
                <c:pt idx="175">
                  <c:v>0.982997697622727</c:v>
                </c:pt>
                <c:pt idx="176">
                  <c:v>0.983011716268182</c:v>
                </c:pt>
                <c:pt idx="177">
                  <c:v>0.9830431845</c:v>
                </c:pt>
                <c:pt idx="178">
                  <c:v>0.983063596472727</c:v>
                </c:pt>
                <c:pt idx="179">
                  <c:v>0.983084214681818</c:v>
                </c:pt>
                <c:pt idx="180">
                  <c:v>0.983102104781818</c:v>
                </c:pt>
                <c:pt idx="181">
                  <c:v>0.983097091790909</c:v>
                </c:pt>
                <c:pt idx="182">
                  <c:v>0.983096877413636</c:v>
                </c:pt>
                <c:pt idx="183">
                  <c:v>0.983115104909091</c:v>
                </c:pt>
                <c:pt idx="184">
                  <c:v>0.983108022318182</c:v>
                </c:pt>
                <c:pt idx="185">
                  <c:v>0.983116574795455</c:v>
                </c:pt>
                <c:pt idx="186">
                  <c:v>0.983120878622727</c:v>
                </c:pt>
                <c:pt idx="187">
                  <c:v>0.983127118177273</c:v>
                </c:pt>
                <c:pt idx="188">
                  <c:v>0.98310782965</c:v>
                </c:pt>
                <c:pt idx="189">
                  <c:v>0.983099818090909</c:v>
                </c:pt>
                <c:pt idx="190">
                  <c:v>0.983092449663636</c:v>
                </c:pt>
                <c:pt idx="191">
                  <c:v>0.98308556155</c:v>
                </c:pt>
                <c:pt idx="192">
                  <c:v>0.983097518736364</c:v>
                </c:pt>
                <c:pt idx="193">
                  <c:v>0.983120840631818</c:v>
                </c:pt>
                <c:pt idx="194">
                  <c:v>0.983106330818182</c:v>
                </c:pt>
                <c:pt idx="195">
                  <c:v>0.983098969627273</c:v>
                </c:pt>
                <c:pt idx="196">
                  <c:v>0.983077554513636</c:v>
                </c:pt>
                <c:pt idx="197">
                  <c:v>0.983070132718182</c:v>
                </c:pt>
                <c:pt idx="198">
                  <c:v>0.983054061659091</c:v>
                </c:pt>
                <c:pt idx="199">
                  <c:v>0.983058313927273</c:v>
                </c:pt>
                <c:pt idx="200">
                  <c:v>0.983053556018182</c:v>
                </c:pt>
                <c:pt idx="201">
                  <c:v>0.9830474232</c:v>
                </c:pt>
                <c:pt idx="202">
                  <c:v>0.983023684309091</c:v>
                </c:pt>
                <c:pt idx="203">
                  <c:v>0.982990512818182</c:v>
                </c:pt>
                <c:pt idx="204">
                  <c:v>0.982966068381818</c:v>
                </c:pt>
                <c:pt idx="205">
                  <c:v>0.982965681236364</c:v>
                </c:pt>
                <c:pt idx="206">
                  <c:v>0.982945128154545</c:v>
                </c:pt>
                <c:pt idx="207">
                  <c:v>0.982917877818182</c:v>
                </c:pt>
                <c:pt idx="208">
                  <c:v>0.982899309309091</c:v>
                </c:pt>
                <c:pt idx="209">
                  <c:v>0.982869095681818</c:v>
                </c:pt>
                <c:pt idx="210">
                  <c:v>0.982834402745454</c:v>
                </c:pt>
                <c:pt idx="211">
                  <c:v>0.982801665436364</c:v>
                </c:pt>
                <c:pt idx="212">
                  <c:v>0.982752796463636</c:v>
                </c:pt>
                <c:pt idx="213">
                  <c:v>0.982731568590909</c:v>
                </c:pt>
                <c:pt idx="214">
                  <c:v>0.982724936463636</c:v>
                </c:pt>
                <c:pt idx="215">
                  <c:v>0.982677000077273</c:v>
                </c:pt>
                <c:pt idx="216">
                  <c:v>0.982633470636364</c:v>
                </c:pt>
                <c:pt idx="217">
                  <c:v>0.98259436985</c:v>
                </c:pt>
                <c:pt idx="218">
                  <c:v>0.982562489145454</c:v>
                </c:pt>
                <c:pt idx="219">
                  <c:v>0.982527271572727</c:v>
                </c:pt>
                <c:pt idx="220">
                  <c:v>0.982499744445455</c:v>
                </c:pt>
                <c:pt idx="221">
                  <c:v>0.982447334177273</c:v>
                </c:pt>
                <c:pt idx="222">
                  <c:v>0.982414657472727</c:v>
                </c:pt>
                <c:pt idx="223">
                  <c:v>0.982406928131818</c:v>
                </c:pt>
                <c:pt idx="224">
                  <c:v>0.982380045040909</c:v>
                </c:pt>
                <c:pt idx="225">
                  <c:v>0.982327539795454</c:v>
                </c:pt>
                <c:pt idx="226">
                  <c:v>0.982298746304545</c:v>
                </c:pt>
                <c:pt idx="227">
                  <c:v>0.98226112445</c:v>
                </c:pt>
                <c:pt idx="228">
                  <c:v>0.982223830040909</c:v>
                </c:pt>
                <c:pt idx="229">
                  <c:v>0.982190782472727</c:v>
                </c:pt>
                <c:pt idx="230">
                  <c:v>0.982146515827273</c:v>
                </c:pt>
                <c:pt idx="231">
                  <c:v>0.982095444286364</c:v>
                </c:pt>
                <c:pt idx="232">
                  <c:v>0.982087438154545</c:v>
                </c:pt>
                <c:pt idx="233">
                  <c:v>0.982057018290909</c:v>
                </c:pt>
                <c:pt idx="234">
                  <c:v>0.982015270804545</c:v>
                </c:pt>
                <c:pt idx="235">
                  <c:v>0.981984569627273</c:v>
                </c:pt>
                <c:pt idx="236">
                  <c:v>0.981954454595454</c:v>
                </c:pt>
                <c:pt idx="237">
                  <c:v>0.981935794727273</c:v>
                </c:pt>
                <c:pt idx="238">
                  <c:v>0.981924485195454</c:v>
                </c:pt>
                <c:pt idx="239">
                  <c:v>0.981923183554545</c:v>
                </c:pt>
                <c:pt idx="240">
                  <c:v>0.981924869627273</c:v>
                </c:pt>
                <c:pt idx="241">
                  <c:v>0.981887952413636</c:v>
                </c:pt>
                <c:pt idx="242">
                  <c:v>0.981874257595454</c:v>
                </c:pt>
                <c:pt idx="243">
                  <c:v>0.981838485536364</c:v>
                </c:pt>
                <c:pt idx="244">
                  <c:v>0.981802137281818</c:v>
                </c:pt>
                <c:pt idx="245">
                  <c:v>0.981767170268182</c:v>
                </c:pt>
                <c:pt idx="246">
                  <c:v>0.981738452759091</c:v>
                </c:pt>
                <c:pt idx="247">
                  <c:v>0.981718351045454</c:v>
                </c:pt>
                <c:pt idx="248">
                  <c:v>0.981677279254546</c:v>
                </c:pt>
                <c:pt idx="249">
                  <c:v>0.981623390959091</c:v>
                </c:pt>
                <c:pt idx="250">
                  <c:v>0.981566056345455</c:v>
                </c:pt>
                <c:pt idx="251">
                  <c:v>0.981500052568182</c:v>
                </c:pt>
                <c:pt idx="252">
                  <c:v>0.981460046331818</c:v>
                </c:pt>
                <c:pt idx="253">
                  <c:v>0.981384574677273</c:v>
                </c:pt>
                <c:pt idx="254">
                  <c:v>0.981325793695455</c:v>
                </c:pt>
                <c:pt idx="255">
                  <c:v>0.981288928040909</c:v>
                </c:pt>
                <c:pt idx="256">
                  <c:v>0.981248764413636</c:v>
                </c:pt>
                <c:pt idx="257">
                  <c:v>0.981190024136364</c:v>
                </c:pt>
                <c:pt idx="258">
                  <c:v>0.98113768985</c:v>
                </c:pt>
                <c:pt idx="259">
                  <c:v>0.981082830072727</c:v>
                </c:pt>
                <c:pt idx="260">
                  <c:v>0.981034417895454</c:v>
                </c:pt>
                <c:pt idx="261">
                  <c:v>0.980981589727273</c:v>
                </c:pt>
                <c:pt idx="262">
                  <c:v>0.980944075513636</c:v>
                </c:pt>
                <c:pt idx="263">
                  <c:v>0.980912918445455</c:v>
                </c:pt>
                <c:pt idx="264">
                  <c:v>0.980900935027273</c:v>
                </c:pt>
                <c:pt idx="265">
                  <c:v>0.980861067186364</c:v>
                </c:pt>
                <c:pt idx="266">
                  <c:v>0.980809008786364</c:v>
                </c:pt>
                <c:pt idx="267">
                  <c:v>0.980758918677273</c:v>
                </c:pt>
                <c:pt idx="268">
                  <c:v>0.980727983222727</c:v>
                </c:pt>
                <c:pt idx="269">
                  <c:v>0.980685414409091</c:v>
                </c:pt>
                <c:pt idx="270">
                  <c:v>0.980645795318182</c:v>
                </c:pt>
                <c:pt idx="271">
                  <c:v>0.980602368995454</c:v>
                </c:pt>
                <c:pt idx="272">
                  <c:v>0.980555637463637</c:v>
                </c:pt>
                <c:pt idx="273">
                  <c:v>0.9804996063</c:v>
                </c:pt>
                <c:pt idx="274">
                  <c:v>0.980454370886364</c:v>
                </c:pt>
                <c:pt idx="275">
                  <c:v>0.980411312713636</c:v>
                </c:pt>
                <c:pt idx="276">
                  <c:v>0.980388306504545</c:v>
                </c:pt>
                <c:pt idx="277">
                  <c:v>0.980354323636364</c:v>
                </c:pt>
                <c:pt idx="278">
                  <c:v>0.9803097205</c:v>
                </c:pt>
                <c:pt idx="279">
                  <c:v>0.980261245004545</c:v>
                </c:pt>
                <c:pt idx="280">
                  <c:v>0.980216746795455</c:v>
                </c:pt>
                <c:pt idx="281">
                  <c:v>0.980161199563636</c:v>
                </c:pt>
                <c:pt idx="282">
                  <c:v>0.980120283354545</c:v>
                </c:pt>
                <c:pt idx="283">
                  <c:v>0.980102314559091</c:v>
                </c:pt>
                <c:pt idx="284">
                  <c:v>0.980076952009091</c:v>
                </c:pt>
                <c:pt idx="285">
                  <c:v>0.980037111304546</c:v>
                </c:pt>
                <c:pt idx="286">
                  <c:v>0.9799919971</c:v>
                </c:pt>
                <c:pt idx="287">
                  <c:v>0.979931198077273</c:v>
                </c:pt>
                <c:pt idx="288">
                  <c:v>0.979867405009091</c:v>
                </c:pt>
                <c:pt idx="289">
                  <c:v>0.979814964890909</c:v>
                </c:pt>
                <c:pt idx="290">
                  <c:v>0.979768007222727</c:v>
                </c:pt>
                <c:pt idx="291">
                  <c:v>0.979728589845454</c:v>
                </c:pt>
                <c:pt idx="292">
                  <c:v>0.979701676</c:v>
                </c:pt>
                <c:pt idx="293">
                  <c:v>0.979658560840909</c:v>
                </c:pt>
                <c:pt idx="294">
                  <c:v>0.979604855263636</c:v>
                </c:pt>
                <c:pt idx="295">
                  <c:v>0.979558378813636</c:v>
                </c:pt>
                <c:pt idx="296">
                  <c:v>0.979524234031818</c:v>
                </c:pt>
                <c:pt idx="297">
                  <c:v>0.979493012740909</c:v>
                </c:pt>
                <c:pt idx="298">
                  <c:v>0.979453942709091</c:v>
                </c:pt>
                <c:pt idx="299">
                  <c:v>0.979426276281818</c:v>
                </c:pt>
                <c:pt idx="300">
                  <c:v>0.979375062727273</c:v>
                </c:pt>
                <c:pt idx="301">
                  <c:v>0.979317741681818</c:v>
                </c:pt>
                <c:pt idx="302">
                  <c:v>0.979256345659091</c:v>
                </c:pt>
                <c:pt idx="303">
                  <c:v>0.979204638222727</c:v>
                </c:pt>
                <c:pt idx="304">
                  <c:v>0.979149598440909</c:v>
                </c:pt>
                <c:pt idx="305">
                  <c:v>0.979081161436364</c:v>
                </c:pt>
                <c:pt idx="306">
                  <c:v>0.979024805540909</c:v>
                </c:pt>
                <c:pt idx="307">
                  <c:v>0.97894946595</c:v>
                </c:pt>
                <c:pt idx="308">
                  <c:v>0.97887420415</c:v>
                </c:pt>
                <c:pt idx="309">
                  <c:v>0.978811427790909</c:v>
                </c:pt>
                <c:pt idx="310">
                  <c:v>0.978737561704546</c:v>
                </c:pt>
                <c:pt idx="311">
                  <c:v>0.978690233172727</c:v>
                </c:pt>
                <c:pt idx="312">
                  <c:v>0.978637142686364</c:v>
                </c:pt>
                <c:pt idx="313">
                  <c:v>0.978568308586364</c:v>
                </c:pt>
                <c:pt idx="314">
                  <c:v>0.978479402622727</c:v>
                </c:pt>
                <c:pt idx="315">
                  <c:v>0.978385650104546</c:v>
                </c:pt>
                <c:pt idx="316">
                  <c:v>0.978288057790909</c:v>
                </c:pt>
                <c:pt idx="317">
                  <c:v>0.978183020163636</c:v>
                </c:pt>
                <c:pt idx="318">
                  <c:v>0.978127484690909</c:v>
                </c:pt>
                <c:pt idx="319">
                  <c:v>0.978046450986364</c:v>
                </c:pt>
                <c:pt idx="320">
                  <c:v>0.977958106745454</c:v>
                </c:pt>
                <c:pt idx="321">
                  <c:v>0.977868165077273</c:v>
                </c:pt>
                <c:pt idx="322">
                  <c:v>0.977785627113636</c:v>
                </c:pt>
                <c:pt idx="323">
                  <c:v>0.977768239940909</c:v>
                </c:pt>
                <c:pt idx="324">
                  <c:v>0.977716419436364</c:v>
                </c:pt>
                <c:pt idx="325">
                  <c:v>0.977660866777273</c:v>
                </c:pt>
                <c:pt idx="326">
                  <c:v>0.977655861927273</c:v>
                </c:pt>
                <c:pt idx="327">
                  <c:v>0.977656762854546</c:v>
                </c:pt>
                <c:pt idx="328">
                  <c:v>0.977618553045454</c:v>
                </c:pt>
                <c:pt idx="329">
                  <c:v>0.977551427631818</c:v>
                </c:pt>
                <c:pt idx="330">
                  <c:v>0.9775264667</c:v>
                </c:pt>
                <c:pt idx="331">
                  <c:v>0.977490283072727</c:v>
                </c:pt>
                <c:pt idx="332">
                  <c:v>0.9774535929</c:v>
                </c:pt>
                <c:pt idx="333">
                  <c:v>0.977418435931818</c:v>
                </c:pt>
                <c:pt idx="334">
                  <c:v>0.977295771427273</c:v>
                </c:pt>
                <c:pt idx="335">
                  <c:v>0.977233596590909</c:v>
                </c:pt>
                <c:pt idx="336">
                  <c:v>0.977208702595454</c:v>
                </c:pt>
                <c:pt idx="337">
                  <c:v>0.977131967290909</c:v>
                </c:pt>
                <c:pt idx="338">
                  <c:v>0.977060136431818</c:v>
                </c:pt>
                <c:pt idx="339">
                  <c:v>0.977056214322727</c:v>
                </c:pt>
                <c:pt idx="340">
                  <c:v>0.977018983231818</c:v>
                </c:pt>
                <c:pt idx="341">
                  <c:v>0.976961398059091</c:v>
                </c:pt>
                <c:pt idx="342">
                  <c:v>0.976916069477273</c:v>
                </c:pt>
                <c:pt idx="343">
                  <c:v>0.976865351613636</c:v>
                </c:pt>
                <c:pt idx="344">
                  <c:v>0.976802788727273</c:v>
                </c:pt>
                <c:pt idx="345">
                  <c:v>0.976755409540909</c:v>
                </c:pt>
                <c:pt idx="346">
                  <c:v>0.976685410386364</c:v>
                </c:pt>
                <c:pt idx="347">
                  <c:v>0.976607341781818</c:v>
                </c:pt>
                <c:pt idx="348">
                  <c:v>0.976552164509091</c:v>
                </c:pt>
                <c:pt idx="349">
                  <c:v>0.9765060942</c:v>
                </c:pt>
                <c:pt idx="350">
                  <c:v>0.976426493295454</c:v>
                </c:pt>
                <c:pt idx="351">
                  <c:v>0.976358529368182</c:v>
                </c:pt>
                <c:pt idx="352">
                  <c:v>0.976305913768182</c:v>
                </c:pt>
                <c:pt idx="353">
                  <c:v>0.976267160327273</c:v>
                </c:pt>
                <c:pt idx="354">
                  <c:v>0.976259187663636</c:v>
                </c:pt>
                <c:pt idx="355">
                  <c:v>0.976226480204545</c:v>
                </c:pt>
                <c:pt idx="356">
                  <c:v>0.976191931995455</c:v>
                </c:pt>
                <c:pt idx="357">
                  <c:v>0.976172721259091</c:v>
                </c:pt>
                <c:pt idx="358" formatCode="0.0000">
                  <c:v>0.97955600519</c:v>
                </c:pt>
                <c:pt idx="359">
                  <c:v>0.976142466927273</c:v>
                </c:pt>
                <c:pt idx="360" formatCode="0.0000">
                  <c:v>0.97978142513</c:v>
                </c:pt>
                <c:pt idx="361">
                  <c:v>0.976104722959091</c:v>
                </c:pt>
                <c:pt idx="362" formatCode="0.0000">
                  <c:v>0.97785319626</c:v>
                </c:pt>
                <c:pt idx="363" formatCode="0.0000">
                  <c:v>0.978978194</c:v>
                </c:pt>
                <c:pt idx="364">
                  <c:v>0.976060894113636</c:v>
                </c:pt>
                <c:pt idx="365" formatCode="0.0000">
                  <c:v>0.978543502533333</c:v>
                </c:pt>
                <c:pt idx="366" formatCode="0.0000">
                  <c:v>0.978226183807778</c:v>
                </c:pt>
                <c:pt idx="367">
                  <c:v>0.97600844495</c:v>
                </c:pt>
                <c:pt idx="368" formatCode="0.0000">
                  <c:v>0.977999478851111</c:v>
                </c:pt>
                <c:pt idx="369">
                  <c:v>0.975989612313636</c:v>
                </c:pt>
                <c:pt idx="370" formatCode="0.0000">
                  <c:v>0.977959437907778</c:v>
                </c:pt>
                <c:pt idx="371" formatCode="0.0000">
                  <c:v>0.977642559118889</c:v>
                </c:pt>
                <c:pt idx="372">
                  <c:v>0.975938229609091</c:v>
                </c:pt>
                <c:pt idx="373" formatCode="0.0000">
                  <c:v>0.97771675321</c:v>
                </c:pt>
                <c:pt idx="374" formatCode="0.0000">
                  <c:v>0.977336568361111</c:v>
                </c:pt>
                <c:pt idx="375">
                  <c:v>0.975878677954545</c:v>
                </c:pt>
                <c:pt idx="376" formatCode="0.0000">
                  <c:v>0.976931730352222</c:v>
                </c:pt>
                <c:pt idx="377">
                  <c:v>0.975823873354545</c:v>
                </c:pt>
                <c:pt idx="378" formatCode="0.0000">
                  <c:v>0.976638779185555</c:v>
                </c:pt>
                <c:pt idx="379" formatCode="0.0000">
                  <c:v>0.976120717608889</c:v>
                </c:pt>
                <c:pt idx="380">
                  <c:v>0.975786177327273</c:v>
                </c:pt>
                <c:pt idx="381" formatCode="0.0000">
                  <c:v>0.975743039267778</c:v>
                </c:pt>
                <c:pt idx="382">
                  <c:v>0.975750825881818</c:v>
                </c:pt>
                <c:pt idx="383" formatCode="0.0000">
                  <c:v>0.97510646855</c:v>
                </c:pt>
                <c:pt idx="384" formatCode="0.0000">
                  <c:v>0.97429633957</c:v>
                </c:pt>
                <c:pt idx="385">
                  <c:v>0.975698573909091</c:v>
                </c:pt>
                <c:pt idx="386" formatCode="0.0000">
                  <c:v>0.973638460952222</c:v>
                </c:pt>
                <c:pt idx="387" formatCode="0.0000">
                  <c:v>0.972570311825556</c:v>
                </c:pt>
                <c:pt idx="388" formatCode="0.0000">
                  <c:v>0.971570243968889</c:v>
                </c:pt>
                <c:pt idx="389" formatCode="0.0000">
                  <c:v>0.970512417622222</c:v>
                </c:pt>
                <c:pt idx="390" formatCode="0.0000">
                  <c:v>0.969192967283333</c:v>
                </c:pt>
                <c:pt idx="391" formatCode="0.0000">
                  <c:v>0.967509577076667</c:v>
                </c:pt>
                <c:pt idx="392" formatCode="0.0000">
                  <c:v>0.96571633743</c:v>
                </c:pt>
                <c:pt idx="393" formatCode="0.0000">
                  <c:v>0.963526274032222</c:v>
                </c:pt>
                <c:pt idx="394" formatCode="0.0000">
                  <c:v>0.961082555321111</c:v>
                </c:pt>
                <c:pt idx="395" formatCode="0.0000">
                  <c:v>0.958033857346667</c:v>
                </c:pt>
                <c:pt idx="396" formatCode="0.0000">
                  <c:v>0.954686269628889</c:v>
                </c:pt>
                <c:pt idx="397" formatCode="0.0000">
                  <c:v>0.950694506434444</c:v>
                </c:pt>
                <c:pt idx="398" formatCode="0.0000">
                  <c:v>0.946124089956667</c:v>
                </c:pt>
                <c:pt idx="399" formatCode="0.0000">
                  <c:v>0.940823446645555</c:v>
                </c:pt>
                <c:pt idx="400" formatCode="0.0000">
                  <c:v>0.934856943025556</c:v>
                </c:pt>
                <c:pt idx="401" formatCode="0.0000">
                  <c:v>0.927696528435555</c:v>
                </c:pt>
                <c:pt idx="402" formatCode="0.0000">
                  <c:v>0.919462185971111</c:v>
                </c:pt>
                <c:pt idx="403" formatCode="0.0000">
                  <c:v>0.909856118098889</c:v>
                </c:pt>
                <c:pt idx="404" formatCode="0.0000">
                  <c:v>0.898654400513333</c:v>
                </c:pt>
                <c:pt idx="405" formatCode="0.0000">
                  <c:v>0.885549904506667</c:v>
                </c:pt>
                <c:pt idx="406" formatCode="0.0000">
                  <c:v>0.870612451234444</c:v>
                </c:pt>
                <c:pt idx="407" formatCode="0.0000">
                  <c:v>0.853374592991111</c:v>
                </c:pt>
                <c:pt idx="408" formatCode="0.0000">
                  <c:v>0.833244866257778</c:v>
                </c:pt>
                <c:pt idx="409" formatCode="0.0000">
                  <c:v>0.81042338264</c:v>
                </c:pt>
                <c:pt idx="410" formatCode="0.0000">
                  <c:v>0.784330690155555</c:v>
                </c:pt>
                <c:pt idx="411" formatCode="0.0000">
                  <c:v>0.7553641637</c:v>
                </c:pt>
                <c:pt idx="412" formatCode="0.0000">
                  <c:v>0.723072873211111</c:v>
                </c:pt>
                <c:pt idx="413" formatCode="0.0000">
                  <c:v>0.687520640677778</c:v>
                </c:pt>
                <c:pt idx="414" formatCode="0.0000">
                  <c:v>0.648731608911111</c:v>
                </c:pt>
                <c:pt idx="415" formatCode="0.0000">
                  <c:v>0.606959720177778</c:v>
                </c:pt>
                <c:pt idx="416" formatCode="0.0000">
                  <c:v>0.562632637011111</c:v>
                </c:pt>
                <c:pt idx="417" formatCode="0.0000">
                  <c:v>0.517096451644444</c:v>
                </c:pt>
                <c:pt idx="418">
                  <c:v>0.470320824511111</c:v>
                </c:pt>
                <c:pt idx="419">
                  <c:v>0.423694441055555</c:v>
                </c:pt>
                <c:pt idx="420">
                  <c:v>0.377345941333333</c:v>
                </c:pt>
                <c:pt idx="421">
                  <c:v>0.332287627322222</c:v>
                </c:pt>
                <c:pt idx="422">
                  <c:v>0.290018013844444</c:v>
                </c:pt>
                <c:pt idx="423">
                  <c:v>0.250603459677778</c:v>
                </c:pt>
                <c:pt idx="424">
                  <c:v>0.214867723255556</c:v>
                </c:pt>
                <c:pt idx="425">
                  <c:v>0.182852401744444</c:v>
                </c:pt>
                <c:pt idx="426">
                  <c:v>0.154643944644445</c:v>
                </c:pt>
                <c:pt idx="427">
                  <c:v>0.130275573744445</c:v>
                </c:pt>
                <c:pt idx="428">
                  <c:v>0.109289271044445</c:v>
                </c:pt>
                <c:pt idx="429">
                  <c:v>0.0921517181444444</c:v>
                </c:pt>
                <c:pt idx="430">
                  <c:v>0.0782222493555557</c:v>
                </c:pt>
                <c:pt idx="431">
                  <c:v>0.0664519585555556</c:v>
                </c:pt>
                <c:pt idx="432">
                  <c:v>0.0571881018777777</c:v>
                </c:pt>
                <c:pt idx="433">
                  <c:v>0.0496361541777777</c:v>
                </c:pt>
                <c:pt idx="434">
                  <c:v>0.043511581422222</c:v>
                </c:pt>
                <c:pt idx="435">
                  <c:v>0.0382998572444442</c:v>
                </c:pt>
                <c:pt idx="436">
                  <c:v>0.0342128499333333</c:v>
                </c:pt>
                <c:pt idx="437">
                  <c:v>0.0311180369111113</c:v>
                </c:pt>
                <c:pt idx="438">
                  <c:v>0.0264279937999999</c:v>
                </c:pt>
                <c:pt idx="439">
                  <c:v>0.0233021544999999</c:v>
                </c:pt>
                <c:pt idx="440">
                  <c:v>0.0229953003</c:v>
                </c:pt>
                <c:pt idx="441">
                  <c:v>0.0215164185000001</c:v>
                </c:pt>
                <c:pt idx="442">
                  <c:v>0.02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</c:numCache>
            </c:numRef>
          </c:yVal>
        </c:ser>
        <c:dLbls/>
        <c:axId val="577433400"/>
        <c:axId val="577441576"/>
      </c:scatterChart>
      <c:valAx>
        <c:axId val="577433400"/>
        <c:scaling>
          <c:orientation val="minMax"/>
          <c:max val="2.5"/>
          <c:min val="0.5"/>
        </c:scaling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05449390941517"/>
              <c:y val="0.9083837034990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441576"/>
        <c:crosses val="autoZero"/>
        <c:crossBetween val="midCat"/>
      </c:valAx>
      <c:valAx>
        <c:axId val="577441576"/>
        <c:scaling>
          <c:orientation val="minMax"/>
          <c:max val="1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Transmission</a:t>
                </a:r>
              </a:p>
            </c:rich>
          </c:tx>
          <c:layout>
            <c:manualLayout>
              <c:xMode val="edge"/>
              <c:yMode val="edge"/>
              <c:x val="0.0176282051282051"/>
              <c:y val="0.34502985372442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433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5001009489204"/>
          <c:y val="0.374269619806296"/>
          <c:w val="0.131410424658456"/>
          <c:h val="0.1189085867190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Bandpass filter</a:t>
            </a:r>
          </a:p>
        </c:rich>
      </c:tx>
      <c:layout>
        <c:manualLayout>
          <c:xMode val="edge"/>
          <c:yMode val="edge"/>
          <c:x val="0.420000559930011"/>
          <c:y val="0.0285234899328855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920001197918227"/>
          <c:y val="0.130872483221477"/>
          <c:w val="0.874667805557039"/>
          <c:h val="0.753355704697987"/>
        </c:manualLayout>
      </c:layout>
      <c:scatterChart>
        <c:scatterStyle val="smoothMarker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'BP filter'!$A$3:$A$72</c:f>
              <c:numCache>
                <c:formatCode>General</c:formatCode>
                <c:ptCount val="70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  <c:pt idx="21">
                  <c:v>1.51</c:v>
                </c:pt>
                <c:pt idx="22">
                  <c:v>1.52</c:v>
                </c:pt>
                <c:pt idx="23">
                  <c:v>1.53</c:v>
                </c:pt>
                <c:pt idx="24">
                  <c:v>1.55</c:v>
                </c:pt>
                <c:pt idx="25">
                  <c:v>1.56</c:v>
                </c:pt>
                <c:pt idx="26">
                  <c:v>1.57</c:v>
                </c:pt>
                <c:pt idx="27">
                  <c:v>1.58</c:v>
                </c:pt>
                <c:pt idx="28">
                  <c:v>1.59</c:v>
                </c:pt>
                <c:pt idx="29">
                  <c:v>1.6</c:v>
                </c:pt>
                <c:pt idx="30">
                  <c:v>1.61</c:v>
                </c:pt>
                <c:pt idx="31">
                  <c:v>1.62</c:v>
                </c:pt>
                <c:pt idx="32">
                  <c:v>1.63</c:v>
                </c:pt>
                <c:pt idx="33">
                  <c:v>1.64</c:v>
                </c:pt>
                <c:pt idx="34">
                  <c:v>1.65</c:v>
                </c:pt>
                <c:pt idx="35">
                  <c:v>1.66</c:v>
                </c:pt>
                <c:pt idx="36">
                  <c:v>1.67</c:v>
                </c:pt>
                <c:pt idx="37">
                  <c:v>1.68</c:v>
                </c:pt>
                <c:pt idx="38">
                  <c:v>1.69</c:v>
                </c:pt>
                <c:pt idx="39">
                  <c:v>1.7</c:v>
                </c:pt>
                <c:pt idx="40">
                  <c:v>1.71</c:v>
                </c:pt>
                <c:pt idx="41">
                  <c:v>1.72</c:v>
                </c:pt>
                <c:pt idx="42">
                  <c:v>1.73</c:v>
                </c:pt>
                <c:pt idx="43">
                  <c:v>1.74</c:v>
                </c:pt>
                <c:pt idx="44">
                  <c:v>1.75</c:v>
                </c:pt>
                <c:pt idx="45">
                  <c:v>1.76</c:v>
                </c:pt>
                <c:pt idx="46">
                  <c:v>1.77</c:v>
                </c:pt>
                <c:pt idx="47">
                  <c:v>1.78</c:v>
                </c:pt>
                <c:pt idx="48">
                  <c:v>1.79</c:v>
                </c:pt>
                <c:pt idx="49">
                  <c:v>1.8</c:v>
                </c:pt>
                <c:pt idx="50">
                  <c:v>1.81</c:v>
                </c:pt>
                <c:pt idx="51">
                  <c:v>1.82</c:v>
                </c:pt>
                <c:pt idx="52">
                  <c:v>1.83</c:v>
                </c:pt>
                <c:pt idx="53">
                  <c:v>1.84</c:v>
                </c:pt>
                <c:pt idx="54">
                  <c:v>1.85</c:v>
                </c:pt>
                <c:pt idx="55">
                  <c:v>1.86</c:v>
                </c:pt>
                <c:pt idx="56">
                  <c:v>1.87</c:v>
                </c:pt>
                <c:pt idx="57">
                  <c:v>1.88</c:v>
                </c:pt>
                <c:pt idx="58">
                  <c:v>1.89</c:v>
                </c:pt>
                <c:pt idx="59">
                  <c:v>1.9</c:v>
                </c:pt>
                <c:pt idx="60">
                  <c:v>1.91</c:v>
                </c:pt>
                <c:pt idx="61">
                  <c:v>1.92</c:v>
                </c:pt>
                <c:pt idx="62">
                  <c:v>1.93</c:v>
                </c:pt>
                <c:pt idx="63">
                  <c:v>1.94</c:v>
                </c:pt>
                <c:pt idx="64">
                  <c:v>1.95</c:v>
                </c:pt>
                <c:pt idx="65">
                  <c:v>1.96</c:v>
                </c:pt>
                <c:pt idx="66">
                  <c:v>1.97</c:v>
                </c:pt>
                <c:pt idx="67">
                  <c:v>1.98</c:v>
                </c:pt>
                <c:pt idx="68">
                  <c:v>1.99</c:v>
                </c:pt>
                <c:pt idx="69">
                  <c:v>2.0</c:v>
                </c:pt>
              </c:numCache>
            </c:numRef>
          </c:xVal>
          <c:yVal>
            <c:numRef>
              <c:f>'BP filter'!$B$3:$B$72</c:f>
              <c:numCache>
                <c:formatCode>General</c:formatCode>
                <c:ptCount val="70"/>
                <c:pt idx="0">
                  <c:v>0.9338809204</c:v>
                </c:pt>
                <c:pt idx="1">
                  <c:v>0.9584835815</c:v>
                </c:pt>
                <c:pt idx="2">
                  <c:v>0.9712689209</c:v>
                </c:pt>
                <c:pt idx="3">
                  <c:v>0.9693698883</c:v>
                </c:pt>
                <c:pt idx="4">
                  <c:v>0.9726098633</c:v>
                </c:pt>
                <c:pt idx="5">
                  <c:v>0.975864563</c:v>
                </c:pt>
                <c:pt idx="6">
                  <c:v>0.9685643005</c:v>
                </c:pt>
                <c:pt idx="7">
                  <c:v>0.9597312927</c:v>
                </c:pt>
                <c:pt idx="8">
                  <c:v>0.9585455322</c:v>
                </c:pt>
                <c:pt idx="9">
                  <c:v>0.9681432343</c:v>
                </c:pt>
                <c:pt idx="10">
                  <c:v>0.9647177887</c:v>
                </c:pt>
                <c:pt idx="11">
                  <c:v>0.9564387512</c:v>
                </c:pt>
                <c:pt idx="12">
                  <c:v>0.9602529907</c:v>
                </c:pt>
                <c:pt idx="13">
                  <c:v>0.9817372131</c:v>
                </c:pt>
                <c:pt idx="14">
                  <c:v>0.9964943695</c:v>
                </c:pt>
                <c:pt idx="15">
                  <c:v>0.9911368561</c:v>
                </c:pt>
                <c:pt idx="16">
                  <c:v>0.9736805725</c:v>
                </c:pt>
                <c:pt idx="17">
                  <c:v>0.9719206238</c:v>
                </c:pt>
                <c:pt idx="18">
                  <c:v>0.9810504913</c:v>
                </c:pt>
                <c:pt idx="19">
                  <c:v>0.9810147858</c:v>
                </c:pt>
                <c:pt idx="20">
                  <c:v>0.9710482025</c:v>
                </c:pt>
                <c:pt idx="21">
                  <c:v>0.9666104126</c:v>
                </c:pt>
                <c:pt idx="22">
                  <c:v>0.9732649231</c:v>
                </c:pt>
                <c:pt idx="23">
                  <c:v>0.9861637878</c:v>
                </c:pt>
                <c:pt idx="24">
                  <c:v>0.9806887817</c:v>
                </c:pt>
                <c:pt idx="25">
                  <c:v>0.9890765381</c:v>
                </c:pt>
                <c:pt idx="26">
                  <c:v>0.9896075439</c:v>
                </c:pt>
                <c:pt idx="27">
                  <c:v>0.9833467865</c:v>
                </c:pt>
                <c:pt idx="28">
                  <c:v>0.9716796875</c:v>
                </c:pt>
                <c:pt idx="29">
                  <c:v>0.9738925934</c:v>
                </c:pt>
                <c:pt idx="30">
                  <c:v>0.9822447968</c:v>
                </c:pt>
                <c:pt idx="31">
                  <c:v>0.9928234863</c:v>
                </c:pt>
                <c:pt idx="32">
                  <c:v>0.9905064392</c:v>
                </c:pt>
                <c:pt idx="33">
                  <c:v>0.9817334747</c:v>
                </c:pt>
                <c:pt idx="34">
                  <c:v>0.9816830444</c:v>
                </c:pt>
                <c:pt idx="35">
                  <c:v>0.9902993774</c:v>
                </c:pt>
                <c:pt idx="36">
                  <c:v>0.9889379883</c:v>
                </c:pt>
                <c:pt idx="37">
                  <c:v>0.9759221649</c:v>
                </c:pt>
                <c:pt idx="38">
                  <c:v>0.9626062775</c:v>
                </c:pt>
                <c:pt idx="39">
                  <c:v>0.9638071442</c:v>
                </c:pt>
                <c:pt idx="40">
                  <c:v>0.9784408569</c:v>
                </c:pt>
                <c:pt idx="41">
                  <c:v>0.9932613373</c:v>
                </c:pt>
                <c:pt idx="42">
                  <c:v>0.9962039948</c:v>
                </c:pt>
                <c:pt idx="43">
                  <c:v>0.9937851715</c:v>
                </c:pt>
                <c:pt idx="44">
                  <c:v>0.9878097534</c:v>
                </c:pt>
                <c:pt idx="45">
                  <c:v>0.9745018768</c:v>
                </c:pt>
                <c:pt idx="46">
                  <c:v>0.9522613525</c:v>
                </c:pt>
                <c:pt idx="47">
                  <c:v>0.9375707245</c:v>
                </c:pt>
                <c:pt idx="48">
                  <c:v>0.9378407288</c:v>
                </c:pt>
                <c:pt idx="49">
                  <c:v>0.9563140869</c:v>
                </c:pt>
                <c:pt idx="50">
                  <c:v>0.9829753876</c:v>
                </c:pt>
                <c:pt idx="51">
                  <c:v>0.9946614838</c:v>
                </c:pt>
                <c:pt idx="52">
                  <c:v>0.9965283966</c:v>
                </c:pt>
                <c:pt idx="53">
                  <c:v>0.9960555267</c:v>
                </c:pt>
                <c:pt idx="54">
                  <c:v>0.9933829498</c:v>
                </c:pt>
                <c:pt idx="55">
                  <c:v>0.9776997375</c:v>
                </c:pt>
                <c:pt idx="56">
                  <c:v>0.9570468903</c:v>
                </c:pt>
                <c:pt idx="57">
                  <c:v>0.9387752533</c:v>
                </c:pt>
                <c:pt idx="58">
                  <c:v>0.9353173828</c:v>
                </c:pt>
                <c:pt idx="59">
                  <c:v>0.9452939606</c:v>
                </c:pt>
                <c:pt idx="60">
                  <c:v>0.9598787689</c:v>
                </c:pt>
                <c:pt idx="61">
                  <c:v>0.9723564911</c:v>
                </c:pt>
                <c:pt idx="62">
                  <c:v>0.9827053833</c:v>
                </c:pt>
                <c:pt idx="63">
                  <c:v>0.9908026886</c:v>
                </c:pt>
                <c:pt idx="64">
                  <c:v>0.9969774628</c:v>
                </c:pt>
                <c:pt idx="65">
                  <c:v>0.9928448486</c:v>
                </c:pt>
                <c:pt idx="66">
                  <c:v>0.9833892059</c:v>
                </c:pt>
                <c:pt idx="67">
                  <c:v>0.9513077545</c:v>
                </c:pt>
                <c:pt idx="68">
                  <c:v>0.9253770447</c:v>
                </c:pt>
                <c:pt idx="69">
                  <c:v>0.9723242188</c:v>
                </c:pt>
              </c:numCache>
            </c:numRef>
          </c:yVal>
          <c:smooth val="1"/>
        </c:ser>
        <c:dLbls/>
        <c:axId val="577493272"/>
        <c:axId val="577520888"/>
      </c:scatterChart>
      <c:valAx>
        <c:axId val="577493272"/>
        <c:scaling>
          <c:orientation val="minMax"/>
          <c:min val="1.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54667226596675"/>
              <c:y val="0.9362416107382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520888"/>
        <c:crosses val="autoZero"/>
        <c:crossBetween val="midCat"/>
      </c:valAx>
      <c:valAx>
        <c:axId val="577520888"/>
        <c:scaling>
          <c:orientation val="minMax"/>
          <c:max val="1.0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Transmission</a:t>
                </a:r>
              </a:p>
            </c:rich>
          </c:tx>
          <c:layout>
            <c:manualLayout>
              <c:xMode val="edge"/>
              <c:yMode val="edge"/>
              <c:x val="0.0213333333333334"/>
              <c:y val="0.4345637583892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7493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Analytic predictions 1-1.7</a:t>
            </a:r>
          </a:p>
        </c:rich>
      </c:tx>
      <c:layout>
        <c:manualLayout>
          <c:xMode val="edge"/>
          <c:yMode val="edge"/>
          <c:x val="0.356775253041026"/>
          <c:y val="0.00263786736995815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734229946753585"/>
          <c:y val="0.14141449015174"/>
          <c:w val="0.902792596501238"/>
          <c:h val="0.689395639489727"/>
        </c:manualLayout>
      </c:layout>
      <c:scatterChart>
        <c:scatterStyle val="lineMarker"/>
        <c:ser>
          <c:idx val="0"/>
          <c:order val="6"/>
          <c:tx>
            <c:strRef>
              <c:f>'Grism model 1.3-1.867'!$C$11</c:f>
              <c:strCache>
                <c:ptCount val="1"/>
                <c:pt idx="0">
                  <c:v>E-1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1.3-1.867'!$C$12:$C$53</c:f>
              <c:numCache>
                <c:formatCode>0.000</c:formatCode>
                <c:ptCount val="42"/>
                <c:pt idx="0">
                  <c:v>0.768976721256389</c:v>
                </c:pt>
                <c:pt idx="1">
                  <c:v>0.783296391762242</c:v>
                </c:pt>
                <c:pt idx="2">
                  <c:v>0.796552435410097</c:v>
                </c:pt>
                <c:pt idx="3">
                  <c:v>0.80876980787989</c:v>
                </c:pt>
                <c:pt idx="4">
                  <c:v>0.819976399173948</c:v>
                </c:pt>
                <c:pt idx="5">
                  <c:v>0.830202049939418</c:v>
                </c:pt>
                <c:pt idx="6">
                  <c:v>0.83947782735825</c:v>
                </c:pt>
                <c:pt idx="7">
                  <c:v>0.847836355197251</c:v>
                </c:pt>
                <c:pt idx="8">
                  <c:v>0.854968433973433</c:v>
                </c:pt>
                <c:pt idx="9">
                  <c:v>0.860563457150218</c:v>
                </c:pt>
                <c:pt idx="10">
                  <c:v>0.862132232724393</c:v>
                </c:pt>
                <c:pt idx="11">
                  <c:v>0.865562637418463</c:v>
                </c:pt>
                <c:pt idx="12">
                  <c:v>0.869806571209014</c:v>
                </c:pt>
                <c:pt idx="13">
                  <c:v>0.87334256871743</c:v>
                </c:pt>
                <c:pt idx="14">
                  <c:v>0.876203694402848</c:v>
                </c:pt>
                <c:pt idx="15">
                  <c:v>0.878422446422584</c:v>
                </c:pt>
                <c:pt idx="16">
                  <c:v>0.880030668818657</c:v>
                </c:pt>
                <c:pt idx="17">
                  <c:v>0.881059461245628</c:v>
                </c:pt>
                <c:pt idx="18">
                  <c:v>0.881539114986888</c:v>
                </c:pt>
                <c:pt idx="19">
                  <c:v>0.881499060697527</c:v>
                </c:pt>
                <c:pt idx="20">
                  <c:v>0.880967825589837</c:v>
                </c:pt>
                <c:pt idx="21">
                  <c:v>0.879973009141479</c:v>
                </c:pt>
                <c:pt idx="22">
                  <c:v>0.878541261483413</c:v>
                </c:pt>
                <c:pt idx="23">
                  <c:v>0.876698270684057</c:v>
                </c:pt>
                <c:pt idx="24">
                  <c:v>0.874468757824518</c:v>
                </c:pt>
                <c:pt idx="25">
                  <c:v>0.871876478101943</c:v>
                </c:pt>
                <c:pt idx="26">
                  <c:v>0.868944227083253</c:v>
                </c:pt>
                <c:pt idx="27">
                  <c:v>0.865693851327397</c:v>
                </c:pt>
                <c:pt idx="28">
                  <c:v>0.862146262681587</c:v>
                </c:pt>
                <c:pt idx="29">
                  <c:v>0.858321455636268</c:v>
                </c:pt>
                <c:pt idx="30">
                  <c:v>0.854238527195258</c:v>
                </c:pt>
                <c:pt idx="31">
                  <c:v>0.849915698782203</c:v>
                </c:pt>
                <c:pt idx="32">
                  <c:v>0.845370339762811</c:v>
                </c:pt>
                <c:pt idx="33">
                  <c:v>0.840618992214667</c:v>
                </c:pt>
                <c:pt idx="34">
                  <c:v>0.835677396623398</c:v>
                </c:pt>
                <c:pt idx="35">
                  <c:v>0.830560518225981</c:v>
                </c:pt>
                <c:pt idx="36">
                  <c:v>0.825282573759458</c:v>
                </c:pt>
                <c:pt idx="37">
                  <c:v>0.81985705840679</c:v>
                </c:pt>
                <c:pt idx="38">
                  <c:v>0.814296772761261</c:v>
                </c:pt>
                <c:pt idx="39">
                  <c:v>0.808613849657254</c:v>
                </c:pt>
                <c:pt idx="40">
                  <c:v>0.802819780738552</c:v>
                </c:pt>
                <c:pt idx="41">
                  <c:v>0.796925442655975</c:v>
                </c:pt>
              </c:numCache>
            </c:numRef>
          </c:yVal>
        </c:ser>
        <c:ser>
          <c:idx val="7"/>
          <c:order val="7"/>
          <c:tx>
            <c:strRef>
              <c:f>'Grism model 1.3-1.867'!$D$11</c:f>
              <c:strCache>
                <c:ptCount val="1"/>
                <c:pt idx="0">
                  <c:v>E-2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1.3-1.867'!$D$12:$D$53</c:f>
              <c:numCache>
                <c:formatCode>0.000</c:formatCode>
                <c:ptCount val="42"/>
                <c:pt idx="0">
                  <c:v>0.0524463628630879</c:v>
                </c:pt>
                <c:pt idx="1">
                  <c:v>0.0451094788467279</c:v>
                </c:pt>
                <c:pt idx="2">
                  <c:v>0.0385353051549108</c:v>
                </c:pt>
                <c:pt idx="3">
                  <c:v>0.0326685065326739</c:v>
                </c:pt>
                <c:pt idx="4">
                  <c:v>0.0274564492314546</c:v>
                </c:pt>
                <c:pt idx="5">
                  <c:v>0.0228492259360419</c:v>
                </c:pt>
                <c:pt idx="6">
                  <c:v>0.0187996317427287</c:v>
                </c:pt>
                <c:pt idx="7">
                  <c:v>0.0152632011655663</c:v>
                </c:pt>
                <c:pt idx="8">
                  <c:v>0.0121932302679502</c:v>
                </c:pt>
                <c:pt idx="9">
                  <c:v>0.00954992381043178</c:v>
                </c:pt>
                <c:pt idx="10">
                  <c:v>0.00728020278803744</c:v>
                </c:pt>
                <c:pt idx="11">
                  <c:v>0.00540612163758192</c:v>
                </c:pt>
                <c:pt idx="12">
                  <c:v>0.00387158490330304</c:v>
                </c:pt>
                <c:pt idx="13">
                  <c:v>0.00263394447252743</c:v>
                </c:pt>
                <c:pt idx="14">
                  <c:v>0.00166576901174881</c:v>
                </c:pt>
                <c:pt idx="15">
                  <c:v>0.000941604754614976</c:v>
                </c:pt>
                <c:pt idx="16">
                  <c:v>0.00043786905998222</c:v>
                </c:pt>
                <c:pt idx="17">
                  <c:v>0.000132742173712978</c:v>
                </c:pt>
                <c:pt idx="18">
                  <c:v>6.06290660617767E-6</c:v>
                </c:pt>
                <c:pt idx="19">
                  <c:v>3.92269260574678E-5</c:v>
                </c:pt>
                <c:pt idx="20">
                  <c:v>0.000215087875758291</c:v>
                </c:pt>
                <c:pt idx="21">
                  <c:v>0.000517864088637727</c:v>
                </c:pt>
                <c:pt idx="22">
                  <c:v>0.000933047796969022</c:v>
                </c:pt>
                <c:pt idx="23">
                  <c:v>0.00144731888882564</c:v>
                </c:pt>
                <c:pt idx="24">
                  <c:v>0.00204846307184133</c:v>
                </c:pt>
                <c:pt idx="25">
                  <c:v>0.00272529435940837</c:v>
                </c:pt>
                <c:pt idx="26">
                  <c:v>0.0034675818450122</c:v>
                </c:pt>
                <c:pt idx="27">
                  <c:v>0.00426598069071405</c:v>
                </c:pt>
                <c:pt idx="28">
                  <c:v>0.00511196722500498</c:v>
                </c:pt>
                <c:pt idx="29">
                  <c:v>0.00599777802188865</c:v>
                </c:pt>
                <c:pt idx="30">
                  <c:v>0.00691635281585966</c:v>
                </c:pt>
                <c:pt idx="31">
                  <c:v>0.00786128109535578</c:v>
                </c:pt>
                <c:pt idx="32">
                  <c:v>0.0088267522093668</c:v>
                </c:pt>
                <c:pt idx="33">
                  <c:v>0.0098075088174154</c:v>
                </c:pt>
                <c:pt idx="34">
                  <c:v>0.010798803511423</c:v>
                </c:pt>
                <c:pt idx="35">
                  <c:v>0.011796358438502</c:v>
                </c:pt>
                <c:pt idx="36">
                  <c:v>0.012796327756001</c:v>
                </c:pt>
                <c:pt idx="37">
                  <c:v>0.0137952627537858</c:v>
                </c:pt>
                <c:pt idx="38">
                  <c:v>0.0147900794834595</c:v>
                </c:pt>
                <c:pt idx="39">
                  <c:v>0.0157780287397124</c:v>
                </c:pt>
                <c:pt idx="40">
                  <c:v>0.0167566682450592</c:v>
                </c:pt>
                <c:pt idx="41">
                  <c:v>0.0177238368956509</c:v>
                </c:pt>
              </c:numCache>
            </c:numRef>
          </c:yVal>
        </c:ser>
        <c:ser>
          <c:idx val="8"/>
          <c:order val="8"/>
          <c:tx>
            <c:strRef>
              <c:f>'Grism model 1.3-1.867'!$E$11</c:f>
              <c:strCache>
                <c:ptCount val="1"/>
                <c:pt idx="0">
                  <c:v>E-3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1.3-1.867'!$E$12:$E$53</c:f>
              <c:numCache>
                <c:formatCode>0.000</c:formatCode>
                <c:ptCount val="42"/>
                <c:pt idx="0">
                  <c:v>0.0101699455574899</c:v>
                </c:pt>
                <c:pt idx="1">
                  <c:v>0.00890803735040857</c:v>
                </c:pt>
                <c:pt idx="2">
                  <c:v>0.00774268596392754</c:v>
                </c:pt>
                <c:pt idx="3">
                  <c:v>0.00667278334330612</c:v>
                </c:pt>
                <c:pt idx="4">
                  <c:v>0.00569653234048042</c:v>
                </c:pt>
                <c:pt idx="5">
                  <c:v>0.00481153242377599</c:v>
                </c:pt>
                <c:pt idx="6">
                  <c:v>0.00401486263890083</c:v>
                </c:pt>
                <c:pt idx="7">
                  <c:v>0.0033032718088631</c:v>
                </c:pt>
                <c:pt idx="8">
                  <c:v>0.00267213558463173</c:v>
                </c:pt>
                <c:pt idx="9">
                  <c:v>0.00211753480762577</c:v>
                </c:pt>
                <c:pt idx="10">
                  <c:v>0.00163187265368751</c:v>
                </c:pt>
                <c:pt idx="11">
                  <c:v>0.00122379296625986</c:v>
                </c:pt>
                <c:pt idx="12">
                  <c:v>0.000884016480696973</c:v>
                </c:pt>
                <c:pt idx="13">
                  <c:v>0.000605644282497508</c:v>
                </c:pt>
                <c:pt idx="14">
                  <c:v>0.000384763671912196</c:v>
                </c:pt>
                <c:pt idx="15">
                  <c:v>0.000217532663254663</c:v>
                </c:pt>
                <c:pt idx="16">
                  <c:v>0.000100203875329468</c:v>
                </c:pt>
                <c:pt idx="17">
                  <c:v>2.91408234080489E-5</c:v>
                </c:pt>
                <c:pt idx="18">
                  <c:v>8.31819518227805E-7</c:v>
                </c:pt>
                <c:pt idx="19">
                  <c:v>1.19001484931701E-5</c:v>
                </c:pt>
                <c:pt idx="20">
                  <c:v>5.91107674444453E-5</c:v>
                </c:pt>
                <c:pt idx="21">
                  <c:v>0.000139376170912332</c:v>
                </c:pt>
                <c:pt idx="22">
                  <c:v>0.000249758626027802</c:v>
                </c:pt>
                <c:pt idx="23">
                  <c:v>0.000387471038694122</c:v>
                </c:pt>
                <c:pt idx="24">
                  <c:v>0.000549876426482621</c:v>
                </c:pt>
                <c:pt idx="25">
                  <c:v>0.000734486189353024</c:v>
                </c:pt>
                <c:pt idx="26">
                  <c:v>0.000938957401817792</c:v>
                </c:pt>
                <c:pt idx="27">
                  <c:v>0.00116108931996854</c:v>
                </c:pt>
                <c:pt idx="28">
                  <c:v>0.00139881927000756</c:v>
                </c:pt>
                <c:pt idx="29">
                  <c:v>0.00165021806126319</c:v>
                </c:pt>
                <c:pt idx="30">
                  <c:v>0.00191348504581848</c:v>
                </c:pt>
                <c:pt idx="31">
                  <c:v>0.00218694292856679</c:v>
                </c:pt>
                <c:pt idx="32">
                  <c:v>0.00246903241546243</c:v>
                </c:pt>
                <c:pt idx="33">
                  <c:v>0.00275830677372027</c:v>
                </c:pt>
                <c:pt idx="34">
                  <c:v>0.00305342636551008</c:v>
                </c:pt>
                <c:pt idx="35">
                  <c:v>0.00335315320608983</c:v>
                </c:pt>
                <c:pt idx="36">
                  <c:v>0.00365634558814108</c:v>
                </c:pt>
                <c:pt idx="37">
                  <c:v>0.00396195280614451</c:v>
                </c:pt>
                <c:pt idx="38">
                  <c:v>0.00426901000781481</c:v>
                </c:pt>
                <c:pt idx="39">
                  <c:v>0.00457663319376769</c:v>
                </c:pt>
                <c:pt idx="40">
                  <c:v>0.00488401438159772</c:v>
                </c:pt>
                <c:pt idx="41">
                  <c:v>0.00519041694629761</c:v>
                </c:pt>
              </c:numCache>
            </c:numRef>
          </c:yVal>
        </c:ser>
        <c:ser>
          <c:idx val="9"/>
          <c:order val="9"/>
          <c:tx>
            <c:strRef>
              <c:f>'Grism model 1.3-1.867'!$F$11</c:f>
              <c:strCache>
                <c:ptCount val="1"/>
                <c:pt idx="0">
                  <c:v>E0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1.3-1.867'!$F$12:$F$53</c:f>
              <c:numCache>
                <c:formatCode>0.000</c:formatCode>
                <c:ptCount val="42"/>
                <c:pt idx="0">
                  <c:v>0.0231673820922017</c:v>
                </c:pt>
                <c:pt idx="1">
                  <c:v>0.0211343457359374</c:v>
                </c:pt>
                <c:pt idx="2">
                  <c:v>0.0191237637122252</c:v>
                </c:pt>
                <c:pt idx="3">
                  <c:v>0.0171527031616422</c:v>
                </c:pt>
                <c:pt idx="4">
                  <c:v>0.015236757876988</c:v>
                </c:pt>
                <c:pt idx="5">
                  <c:v>0.0133902010798249</c:v>
                </c:pt>
                <c:pt idx="6">
                  <c:v>0.0116261375953658</c:v>
                </c:pt>
                <c:pt idx="7">
                  <c:v>0.00995625036615711</c:v>
                </c:pt>
                <c:pt idx="8">
                  <c:v>0.00838769335910608</c:v>
                </c:pt>
                <c:pt idx="9">
                  <c:v>0.00692881474202418</c:v>
                </c:pt>
                <c:pt idx="10">
                  <c:v>0.00557456617785547</c:v>
                </c:pt>
                <c:pt idx="11">
                  <c:v>0.00437470842810039</c:v>
                </c:pt>
                <c:pt idx="12">
                  <c:v>0.0033191671597558</c:v>
                </c:pt>
                <c:pt idx="13">
                  <c:v>0.00240295722345448</c:v>
                </c:pt>
                <c:pt idx="14">
                  <c:v>0.00163025808162205</c:v>
                </c:pt>
                <c:pt idx="15">
                  <c:v>0.00100441808237461</c:v>
                </c:pt>
                <c:pt idx="16">
                  <c:v>0.000528005580507844</c:v>
                </c:pt>
                <c:pt idx="17">
                  <c:v>0.000202872268874856</c:v>
                </c:pt>
                <c:pt idx="18">
                  <c:v>3.02079239369902E-5</c:v>
                </c:pt>
                <c:pt idx="19">
                  <c:v>1.05946045598977E-5</c:v>
                </c:pt>
                <c:pt idx="20">
                  <c:v>0.000144060745468749</c:v>
                </c:pt>
                <c:pt idx="21">
                  <c:v>0.000430127775807435</c:v>
                </c:pt>
                <c:pt idx="22">
                  <c:v>0.000867857537101775</c:v>
                </c:pt>
                <c:pt idx="23">
                  <c:v>0.00145589800895005</c:v>
                </c:pt>
                <c:pt idx="24">
                  <c:v>0.00219252559062511</c:v>
                </c:pt>
                <c:pt idx="25">
                  <c:v>0.00307568486268684</c:v>
                </c:pt>
                <c:pt idx="26">
                  <c:v>0.00410302585679644</c:v>
                </c:pt>
                <c:pt idx="27">
                  <c:v>0.00527193888230401</c:v>
                </c:pt>
                <c:pt idx="28">
                  <c:v>0.0065795869743239</c:v>
                </c:pt>
                <c:pt idx="29">
                  <c:v>0.00802293604052052</c:v>
                </c:pt>
                <c:pt idx="30">
                  <c:v>0.00959878279324032</c:v>
                </c:pt>
                <c:pt idx="31">
                  <c:v>0.0113037805604272</c:v>
                </c:pt>
                <c:pt idx="32">
                  <c:v>0.0131344630733436</c:v>
                </c:pt>
                <c:pt idx="33">
                  <c:v>0.0150872663318711</c:v>
                </c:pt>
                <c:pt idx="34">
                  <c:v>0.0171585486493828</c:v>
                </c:pt>
                <c:pt idx="35">
                  <c:v>0.0193446089791375</c:v>
                </c:pt>
                <c:pt idx="36">
                  <c:v>0.0216417036230953</c:v>
                </c:pt>
                <c:pt idx="37">
                  <c:v>0.0240460614221582</c:v>
                </c:pt>
                <c:pt idx="38">
                  <c:v>0.0265538975243275</c:v>
                </c:pt>
                <c:pt idx="39">
                  <c:v>0.0291614258242247</c:v>
                </c:pt>
                <c:pt idx="40">
                  <c:v>0.0318648701640272</c:v>
                </c:pt>
                <c:pt idx="41">
                  <c:v>0.034660474382182</c:v>
                </c:pt>
              </c:numCache>
            </c:numRef>
          </c:yVal>
        </c:ser>
        <c:ser>
          <c:idx val="10"/>
          <c:order val="10"/>
          <c:tx>
            <c:strRef>
              <c:f>'Grism model 1.3-1.867'!$G$11</c:f>
              <c:strCache>
                <c:ptCount val="1"/>
                <c:pt idx="0">
                  <c:v>E1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1.3-1.867'!$G$12:$G$53</c:f>
              <c:numCache>
                <c:formatCode>0.000</c:formatCode>
                <c:ptCount val="42"/>
                <c:pt idx="0">
                  <c:v>0.00707384443087137</c:v>
                </c:pt>
                <c:pt idx="1">
                  <c:v>0.00639971956401267</c:v>
                </c:pt>
                <c:pt idx="2">
                  <c:v>0.0057444113115496</c:v>
                </c:pt>
                <c:pt idx="3">
                  <c:v>0.00511245012572798</c:v>
                </c:pt>
                <c:pt idx="4">
                  <c:v>0.00450773254027792</c:v>
                </c:pt>
                <c:pt idx="5">
                  <c:v>0.00393362236539387</c:v>
                </c:pt>
                <c:pt idx="6">
                  <c:v>0.00339304268130156</c:v>
                </c:pt>
                <c:pt idx="7">
                  <c:v>0.00288837071278065</c:v>
                </c:pt>
                <c:pt idx="8">
                  <c:v>0.00242060297776216</c:v>
                </c:pt>
                <c:pt idx="9">
                  <c:v>0.00199102505963363</c:v>
                </c:pt>
                <c:pt idx="10">
                  <c:v>0.00159702889779686</c:v>
                </c:pt>
                <c:pt idx="11">
                  <c:v>0.00125165957737715</c:v>
                </c:pt>
                <c:pt idx="12">
                  <c:v>0.000950775546309947</c:v>
                </c:pt>
                <c:pt idx="13">
                  <c:v>0.000691723770629603</c:v>
                </c:pt>
                <c:pt idx="14">
                  <c:v>0.000474480664835081</c:v>
                </c:pt>
                <c:pt idx="15">
                  <c:v>0.000298798239291696</c:v>
                </c:pt>
                <c:pt idx="16">
                  <c:v>0.00016422612134905</c:v>
                </c:pt>
                <c:pt idx="17">
                  <c:v>7.01380357830754E-5</c:v>
                </c:pt>
                <c:pt idx="18">
                  <c:v>1.57535607797591E-5</c:v>
                </c:pt>
                <c:pt idx="19">
                  <c:v>1.58912816892348E-7</c:v>
                </c:pt>
                <c:pt idx="20">
                  <c:v>2.23268150979344E-5</c:v>
                </c:pt>
                <c:pt idx="21">
                  <c:v>8.11334245705326E-5</c:v>
                </c:pt>
                <c:pt idx="22">
                  <c:v>0.000175374118745477</c:v>
                </c:pt>
                <c:pt idx="23">
                  <c:v>0.000303778846681409</c:v>
                </c:pt>
                <c:pt idx="24">
                  <c:v>0.000465025593849359</c:v>
                </c:pt>
                <c:pt idx="25">
                  <c:v>0.000657752574591739</c:v>
                </c:pt>
                <c:pt idx="26">
                  <c:v>0.000880569226280014</c:v>
                </c:pt>
                <c:pt idx="27">
                  <c:v>0.00113206608019379</c:v>
                </c:pt>
                <c:pt idx="28">
                  <c:v>0.00141082358390941</c:v>
                </c:pt>
                <c:pt idx="29">
                  <c:v>0.00171541994883395</c:v>
                </c:pt>
                <c:pt idx="30">
                  <c:v>0.00204443809465487</c:v>
                </c:pt>
                <c:pt idx="31">
                  <c:v>0.00239647176006792</c:v>
                </c:pt>
                <c:pt idx="32">
                  <c:v>0.00277013084633449</c:v>
                </c:pt>
                <c:pt idx="33">
                  <c:v>0.00316404605712791</c:v>
                </c:pt>
                <c:pt idx="34">
                  <c:v>0.00357687289485083</c:v>
                </c:pt>
                <c:pt idx="35">
                  <c:v>0.00400729507022157</c:v>
                </c:pt>
                <c:pt idx="36">
                  <c:v>0.00445402737850684</c:v>
                </c:pt>
                <c:pt idx="37">
                  <c:v>0.00491581809236344</c:v>
                </c:pt>
                <c:pt idx="38">
                  <c:v>0.00539145091789574</c:v>
                </c:pt>
                <c:pt idx="39">
                  <c:v>0.00587974655725871</c:v>
                </c:pt>
                <c:pt idx="40">
                  <c:v>0.00637956391797202</c:v>
                </c:pt>
                <c:pt idx="41">
                  <c:v>0.00688980100606899</c:v>
                </c:pt>
              </c:numCache>
            </c:numRef>
          </c:yVal>
        </c:ser>
        <c:ser>
          <c:idx val="11"/>
          <c:order val="11"/>
          <c:tx>
            <c:strRef>
              <c:f>'Grism model 1.3-1.867'!$H$11</c:f>
              <c:strCache>
                <c:ptCount val="1"/>
                <c:pt idx="0">
                  <c:v>E2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1.3-1.867'!$H$12:$H$53</c:f>
              <c:numCache>
                <c:formatCode>0.000</c:formatCode>
                <c:ptCount val="42"/>
                <c:pt idx="0">
                  <c:v>0.00343168101861602</c:v>
                </c:pt>
                <c:pt idx="1">
                  <c:v>0.00309992360633288</c:v>
                </c:pt>
                <c:pt idx="2">
                  <c:v>0.00277903753440652</c:v>
                </c:pt>
                <c:pt idx="3">
                  <c:v>0.00247102731908365</c:v>
                </c:pt>
                <c:pt idx="4">
                  <c:v>0.00217756320459419</c:v>
                </c:pt>
                <c:pt idx="5">
                  <c:v>0.00190004819343444</c:v>
                </c:pt>
                <c:pt idx="6">
                  <c:v>0.00163967735549344</c:v>
                </c:pt>
                <c:pt idx="7">
                  <c:v>0.00139736732064878</c:v>
                </c:pt>
                <c:pt idx="8">
                  <c:v>0.00117337228390371</c:v>
                </c:pt>
                <c:pt idx="9">
                  <c:v>0.000968085123239991</c:v>
                </c:pt>
                <c:pt idx="10">
                  <c:v>0.000779998559422407</c:v>
                </c:pt>
                <c:pt idx="11">
                  <c:v>0.000615255814773318</c:v>
                </c:pt>
                <c:pt idx="12">
                  <c:v>0.000471662730126001</c:v>
                </c:pt>
                <c:pt idx="13">
                  <c:v>0.000347734591805614</c:v>
                </c:pt>
                <c:pt idx="14">
                  <c:v>0.000243284187358929</c:v>
                </c:pt>
                <c:pt idx="15">
                  <c:v>0.00015802847008639</c:v>
                </c:pt>
                <c:pt idx="16">
                  <c:v>9.15990328425484E-5</c:v>
                </c:pt>
                <c:pt idx="17">
                  <c:v>4.35556124995237E-5</c:v>
                </c:pt>
                <c:pt idx="18">
                  <c:v>1.33965833402556E-5</c:v>
                </c:pt>
                <c:pt idx="19">
                  <c:v>5.68942130852208E-7</c:v>
                </c:pt>
                <c:pt idx="20">
                  <c:v>4.47767913706566E-6</c:v>
                </c:pt>
                <c:pt idx="21">
                  <c:v>2.44939533912321E-5</c:v>
                </c:pt>
                <c:pt idx="22">
                  <c:v>5.99619053252745E-5</c:v>
                </c:pt>
                <c:pt idx="23">
                  <c:v>0.000110205830231373</c:v>
                </c:pt>
                <c:pt idx="24">
                  <c:v>0.000174536185386312</c:v>
                </c:pt>
                <c:pt idx="25">
                  <c:v>0.000252254940787313</c:v>
                </c:pt>
                <c:pt idx="26">
                  <c:v>0.000342660320789559</c:v>
                </c:pt>
                <c:pt idx="27">
                  <c:v>0.000445050982885819</c:v>
                </c:pt>
                <c:pt idx="28">
                  <c:v>0.000558729678389051</c:v>
                </c:pt>
                <c:pt idx="29">
                  <c:v>0.00068300643798267</c:v>
                </c:pt>
                <c:pt idx="30">
                  <c:v>0.00081720132308197</c:v>
                </c:pt>
                <c:pt idx="31">
                  <c:v>0.00096064678178208</c:v>
                </c:pt>
                <c:pt idx="32">
                  <c:v>0.00111268964591277</c:v>
                </c:pt>
                <c:pt idx="33">
                  <c:v>0.00127269280343023</c:v>
                </c:pt>
                <c:pt idx="34">
                  <c:v>0.0014400365780884</c:v>
                </c:pt>
                <c:pt idx="35">
                  <c:v>0.00161411984608073</c:v>
                </c:pt>
                <c:pt idx="36">
                  <c:v>0.00179436091714907</c:v>
                </c:pt>
                <c:pt idx="37">
                  <c:v>0.00198019820553934</c:v>
                </c:pt>
                <c:pt idx="38">
                  <c:v>0.00217109071415617</c:v>
                </c:pt>
                <c:pt idx="39">
                  <c:v>0.00236651835333907</c:v>
                </c:pt>
                <c:pt idx="40">
                  <c:v>0.00256598211385838</c:v>
                </c:pt>
                <c:pt idx="41">
                  <c:v>0.00276900411200981</c:v>
                </c:pt>
              </c:numCache>
            </c:numRef>
          </c:yVal>
        </c:ser>
        <c:ser>
          <c:idx val="1"/>
          <c:order val="0"/>
          <c:tx>
            <c:strRef>
              <c:f>'Grism model 1.3-1.867'!$C$11</c:f>
              <c:strCache>
                <c:ptCount val="1"/>
                <c:pt idx="0">
                  <c:v>E-1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1.3-1.867'!$C$12:$C$53</c:f>
              <c:numCache>
                <c:formatCode>0.000</c:formatCode>
                <c:ptCount val="42"/>
                <c:pt idx="0">
                  <c:v>0.768976721256389</c:v>
                </c:pt>
                <c:pt idx="1">
                  <c:v>0.783296391762242</c:v>
                </c:pt>
                <c:pt idx="2">
                  <c:v>0.796552435410097</c:v>
                </c:pt>
                <c:pt idx="3">
                  <c:v>0.80876980787989</c:v>
                </c:pt>
                <c:pt idx="4">
                  <c:v>0.819976399173948</c:v>
                </c:pt>
                <c:pt idx="5">
                  <c:v>0.830202049939418</c:v>
                </c:pt>
                <c:pt idx="6">
                  <c:v>0.83947782735825</c:v>
                </c:pt>
                <c:pt idx="7">
                  <c:v>0.847836355197251</c:v>
                </c:pt>
                <c:pt idx="8">
                  <c:v>0.854968433973433</c:v>
                </c:pt>
                <c:pt idx="9">
                  <c:v>0.860563457150218</c:v>
                </c:pt>
                <c:pt idx="10">
                  <c:v>0.862132232724393</c:v>
                </c:pt>
                <c:pt idx="11">
                  <c:v>0.865562637418463</c:v>
                </c:pt>
                <c:pt idx="12">
                  <c:v>0.869806571209014</c:v>
                </c:pt>
                <c:pt idx="13">
                  <c:v>0.87334256871743</c:v>
                </c:pt>
                <c:pt idx="14">
                  <c:v>0.876203694402848</c:v>
                </c:pt>
                <c:pt idx="15">
                  <c:v>0.878422446422584</c:v>
                </c:pt>
                <c:pt idx="16">
                  <c:v>0.880030668818657</c:v>
                </c:pt>
                <c:pt idx="17">
                  <c:v>0.881059461245628</c:v>
                </c:pt>
                <c:pt idx="18">
                  <c:v>0.881539114986888</c:v>
                </c:pt>
                <c:pt idx="19">
                  <c:v>0.881499060697527</c:v>
                </c:pt>
                <c:pt idx="20">
                  <c:v>0.880967825589837</c:v>
                </c:pt>
                <c:pt idx="21">
                  <c:v>0.879973009141479</c:v>
                </c:pt>
                <c:pt idx="22">
                  <c:v>0.878541261483413</c:v>
                </c:pt>
                <c:pt idx="23">
                  <c:v>0.876698270684057</c:v>
                </c:pt>
                <c:pt idx="24">
                  <c:v>0.874468757824518</c:v>
                </c:pt>
                <c:pt idx="25">
                  <c:v>0.871876478101943</c:v>
                </c:pt>
                <c:pt idx="26">
                  <c:v>0.868944227083253</c:v>
                </c:pt>
                <c:pt idx="27">
                  <c:v>0.865693851327397</c:v>
                </c:pt>
                <c:pt idx="28">
                  <c:v>0.862146262681587</c:v>
                </c:pt>
                <c:pt idx="29">
                  <c:v>0.858321455636268</c:v>
                </c:pt>
                <c:pt idx="30">
                  <c:v>0.854238527195258</c:v>
                </c:pt>
                <c:pt idx="31">
                  <c:v>0.849915698782203</c:v>
                </c:pt>
                <c:pt idx="32">
                  <c:v>0.845370339762811</c:v>
                </c:pt>
                <c:pt idx="33">
                  <c:v>0.840618992214667</c:v>
                </c:pt>
                <c:pt idx="34">
                  <c:v>0.835677396623398</c:v>
                </c:pt>
                <c:pt idx="35">
                  <c:v>0.830560518225981</c:v>
                </c:pt>
                <c:pt idx="36">
                  <c:v>0.825282573759458</c:v>
                </c:pt>
                <c:pt idx="37">
                  <c:v>0.81985705840679</c:v>
                </c:pt>
                <c:pt idx="38">
                  <c:v>0.814296772761261</c:v>
                </c:pt>
                <c:pt idx="39">
                  <c:v>0.808613849657254</c:v>
                </c:pt>
                <c:pt idx="40">
                  <c:v>0.802819780738552</c:v>
                </c:pt>
                <c:pt idx="41">
                  <c:v>0.796925442655975</c:v>
                </c:pt>
              </c:numCache>
            </c:numRef>
          </c:yVal>
        </c:ser>
        <c:ser>
          <c:idx val="2"/>
          <c:order val="1"/>
          <c:tx>
            <c:strRef>
              <c:f>'Grism model 1.3-1.867'!$D$11</c:f>
              <c:strCache>
                <c:ptCount val="1"/>
                <c:pt idx="0">
                  <c:v>E-2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1.3-1.867'!$D$12:$D$53</c:f>
              <c:numCache>
                <c:formatCode>0.000</c:formatCode>
                <c:ptCount val="42"/>
                <c:pt idx="0">
                  <c:v>0.0524463628630879</c:v>
                </c:pt>
                <c:pt idx="1">
                  <c:v>0.0451094788467279</c:v>
                </c:pt>
                <c:pt idx="2">
                  <c:v>0.0385353051549108</c:v>
                </c:pt>
                <c:pt idx="3">
                  <c:v>0.0326685065326739</c:v>
                </c:pt>
                <c:pt idx="4">
                  <c:v>0.0274564492314546</c:v>
                </c:pt>
                <c:pt idx="5">
                  <c:v>0.0228492259360419</c:v>
                </c:pt>
                <c:pt idx="6">
                  <c:v>0.0187996317427287</c:v>
                </c:pt>
                <c:pt idx="7">
                  <c:v>0.0152632011655663</c:v>
                </c:pt>
                <c:pt idx="8">
                  <c:v>0.0121932302679502</c:v>
                </c:pt>
                <c:pt idx="9">
                  <c:v>0.00954992381043178</c:v>
                </c:pt>
                <c:pt idx="10">
                  <c:v>0.00728020278803744</c:v>
                </c:pt>
                <c:pt idx="11">
                  <c:v>0.00540612163758192</c:v>
                </c:pt>
                <c:pt idx="12">
                  <c:v>0.00387158490330304</c:v>
                </c:pt>
                <c:pt idx="13">
                  <c:v>0.00263394447252743</c:v>
                </c:pt>
                <c:pt idx="14">
                  <c:v>0.00166576901174881</c:v>
                </c:pt>
                <c:pt idx="15">
                  <c:v>0.000941604754614976</c:v>
                </c:pt>
                <c:pt idx="16">
                  <c:v>0.00043786905998222</c:v>
                </c:pt>
                <c:pt idx="17">
                  <c:v>0.000132742173712978</c:v>
                </c:pt>
                <c:pt idx="18">
                  <c:v>6.06290660617767E-6</c:v>
                </c:pt>
                <c:pt idx="19">
                  <c:v>3.92269260574678E-5</c:v>
                </c:pt>
                <c:pt idx="20">
                  <c:v>0.000215087875758291</c:v>
                </c:pt>
                <c:pt idx="21">
                  <c:v>0.000517864088637727</c:v>
                </c:pt>
                <c:pt idx="22">
                  <c:v>0.000933047796969022</c:v>
                </c:pt>
                <c:pt idx="23">
                  <c:v>0.00144731888882564</c:v>
                </c:pt>
                <c:pt idx="24">
                  <c:v>0.00204846307184133</c:v>
                </c:pt>
                <c:pt idx="25">
                  <c:v>0.00272529435940837</c:v>
                </c:pt>
                <c:pt idx="26">
                  <c:v>0.0034675818450122</c:v>
                </c:pt>
                <c:pt idx="27">
                  <c:v>0.00426598069071405</c:v>
                </c:pt>
                <c:pt idx="28">
                  <c:v>0.00511196722500498</c:v>
                </c:pt>
                <c:pt idx="29">
                  <c:v>0.00599777802188865</c:v>
                </c:pt>
                <c:pt idx="30">
                  <c:v>0.00691635281585966</c:v>
                </c:pt>
                <c:pt idx="31">
                  <c:v>0.00786128109535578</c:v>
                </c:pt>
                <c:pt idx="32">
                  <c:v>0.0088267522093668</c:v>
                </c:pt>
                <c:pt idx="33">
                  <c:v>0.0098075088174154</c:v>
                </c:pt>
                <c:pt idx="34">
                  <c:v>0.010798803511423</c:v>
                </c:pt>
                <c:pt idx="35">
                  <c:v>0.011796358438502</c:v>
                </c:pt>
                <c:pt idx="36">
                  <c:v>0.012796327756001</c:v>
                </c:pt>
                <c:pt idx="37">
                  <c:v>0.0137952627537858</c:v>
                </c:pt>
                <c:pt idx="38">
                  <c:v>0.0147900794834595</c:v>
                </c:pt>
                <c:pt idx="39">
                  <c:v>0.0157780287397124</c:v>
                </c:pt>
                <c:pt idx="40">
                  <c:v>0.0167566682450592</c:v>
                </c:pt>
                <c:pt idx="41">
                  <c:v>0.0177238368956509</c:v>
                </c:pt>
              </c:numCache>
            </c:numRef>
          </c:yVal>
        </c:ser>
        <c:ser>
          <c:idx val="3"/>
          <c:order val="2"/>
          <c:tx>
            <c:strRef>
              <c:f>'Grism model 1.3-1.867'!$E$11</c:f>
              <c:strCache>
                <c:ptCount val="1"/>
                <c:pt idx="0">
                  <c:v>E-3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1.3-1.867'!$E$12:$E$53</c:f>
              <c:numCache>
                <c:formatCode>0.000</c:formatCode>
                <c:ptCount val="42"/>
                <c:pt idx="0">
                  <c:v>0.0101699455574899</c:v>
                </c:pt>
                <c:pt idx="1">
                  <c:v>0.00890803735040857</c:v>
                </c:pt>
                <c:pt idx="2">
                  <c:v>0.00774268596392754</c:v>
                </c:pt>
                <c:pt idx="3">
                  <c:v>0.00667278334330612</c:v>
                </c:pt>
                <c:pt idx="4">
                  <c:v>0.00569653234048042</c:v>
                </c:pt>
                <c:pt idx="5">
                  <c:v>0.00481153242377599</c:v>
                </c:pt>
                <c:pt idx="6">
                  <c:v>0.00401486263890083</c:v>
                </c:pt>
                <c:pt idx="7">
                  <c:v>0.0033032718088631</c:v>
                </c:pt>
                <c:pt idx="8">
                  <c:v>0.00267213558463173</c:v>
                </c:pt>
                <c:pt idx="9">
                  <c:v>0.00211753480762577</c:v>
                </c:pt>
                <c:pt idx="10">
                  <c:v>0.00163187265368751</c:v>
                </c:pt>
                <c:pt idx="11">
                  <c:v>0.00122379296625986</c:v>
                </c:pt>
                <c:pt idx="12">
                  <c:v>0.000884016480696973</c:v>
                </c:pt>
                <c:pt idx="13">
                  <c:v>0.000605644282497508</c:v>
                </c:pt>
                <c:pt idx="14">
                  <c:v>0.000384763671912196</c:v>
                </c:pt>
                <c:pt idx="15">
                  <c:v>0.000217532663254663</c:v>
                </c:pt>
                <c:pt idx="16">
                  <c:v>0.000100203875329468</c:v>
                </c:pt>
                <c:pt idx="17">
                  <c:v>2.91408234080489E-5</c:v>
                </c:pt>
                <c:pt idx="18">
                  <c:v>8.31819518227805E-7</c:v>
                </c:pt>
                <c:pt idx="19">
                  <c:v>1.19001484931701E-5</c:v>
                </c:pt>
                <c:pt idx="20">
                  <c:v>5.91107674444453E-5</c:v>
                </c:pt>
                <c:pt idx="21">
                  <c:v>0.000139376170912332</c:v>
                </c:pt>
                <c:pt idx="22">
                  <c:v>0.000249758626027802</c:v>
                </c:pt>
                <c:pt idx="23">
                  <c:v>0.000387471038694122</c:v>
                </c:pt>
                <c:pt idx="24">
                  <c:v>0.000549876426482621</c:v>
                </c:pt>
                <c:pt idx="25">
                  <c:v>0.000734486189353024</c:v>
                </c:pt>
                <c:pt idx="26">
                  <c:v>0.000938957401817792</c:v>
                </c:pt>
                <c:pt idx="27">
                  <c:v>0.00116108931996854</c:v>
                </c:pt>
                <c:pt idx="28">
                  <c:v>0.00139881927000756</c:v>
                </c:pt>
                <c:pt idx="29">
                  <c:v>0.00165021806126319</c:v>
                </c:pt>
                <c:pt idx="30">
                  <c:v>0.00191348504581848</c:v>
                </c:pt>
                <c:pt idx="31">
                  <c:v>0.00218694292856679</c:v>
                </c:pt>
                <c:pt idx="32">
                  <c:v>0.00246903241546243</c:v>
                </c:pt>
                <c:pt idx="33">
                  <c:v>0.00275830677372027</c:v>
                </c:pt>
                <c:pt idx="34">
                  <c:v>0.00305342636551008</c:v>
                </c:pt>
                <c:pt idx="35">
                  <c:v>0.00335315320608983</c:v>
                </c:pt>
                <c:pt idx="36">
                  <c:v>0.00365634558814108</c:v>
                </c:pt>
                <c:pt idx="37">
                  <c:v>0.00396195280614451</c:v>
                </c:pt>
                <c:pt idx="38">
                  <c:v>0.00426901000781481</c:v>
                </c:pt>
                <c:pt idx="39">
                  <c:v>0.00457663319376769</c:v>
                </c:pt>
                <c:pt idx="40">
                  <c:v>0.00488401438159772</c:v>
                </c:pt>
                <c:pt idx="41">
                  <c:v>0.00519041694629761</c:v>
                </c:pt>
              </c:numCache>
            </c:numRef>
          </c:yVal>
        </c:ser>
        <c:ser>
          <c:idx val="4"/>
          <c:order val="3"/>
          <c:tx>
            <c:strRef>
              <c:f>'Grism model 1.3-1.867'!$F$11</c:f>
              <c:strCache>
                <c:ptCount val="1"/>
                <c:pt idx="0">
                  <c:v>E0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1.3-1.867'!$F$12:$F$53</c:f>
              <c:numCache>
                <c:formatCode>0.000</c:formatCode>
                <c:ptCount val="42"/>
                <c:pt idx="0">
                  <c:v>0.0231673820922017</c:v>
                </c:pt>
                <c:pt idx="1">
                  <c:v>0.0211343457359374</c:v>
                </c:pt>
                <c:pt idx="2">
                  <c:v>0.0191237637122252</c:v>
                </c:pt>
                <c:pt idx="3">
                  <c:v>0.0171527031616422</c:v>
                </c:pt>
                <c:pt idx="4">
                  <c:v>0.015236757876988</c:v>
                </c:pt>
                <c:pt idx="5">
                  <c:v>0.0133902010798249</c:v>
                </c:pt>
                <c:pt idx="6">
                  <c:v>0.0116261375953658</c:v>
                </c:pt>
                <c:pt idx="7">
                  <c:v>0.00995625036615711</c:v>
                </c:pt>
                <c:pt idx="8">
                  <c:v>0.00838769335910608</c:v>
                </c:pt>
                <c:pt idx="9">
                  <c:v>0.00692881474202418</c:v>
                </c:pt>
                <c:pt idx="10">
                  <c:v>0.00557456617785547</c:v>
                </c:pt>
                <c:pt idx="11">
                  <c:v>0.00437470842810039</c:v>
                </c:pt>
                <c:pt idx="12">
                  <c:v>0.0033191671597558</c:v>
                </c:pt>
                <c:pt idx="13">
                  <c:v>0.00240295722345448</c:v>
                </c:pt>
                <c:pt idx="14">
                  <c:v>0.00163025808162205</c:v>
                </c:pt>
                <c:pt idx="15">
                  <c:v>0.00100441808237461</c:v>
                </c:pt>
                <c:pt idx="16">
                  <c:v>0.000528005580507844</c:v>
                </c:pt>
                <c:pt idx="17">
                  <c:v>0.000202872268874856</c:v>
                </c:pt>
                <c:pt idx="18">
                  <c:v>3.02079239369902E-5</c:v>
                </c:pt>
                <c:pt idx="19">
                  <c:v>1.05946045598977E-5</c:v>
                </c:pt>
                <c:pt idx="20">
                  <c:v>0.000144060745468749</c:v>
                </c:pt>
                <c:pt idx="21">
                  <c:v>0.000430127775807435</c:v>
                </c:pt>
                <c:pt idx="22">
                  <c:v>0.000867857537101775</c:v>
                </c:pt>
                <c:pt idx="23">
                  <c:v>0.00145589800895005</c:v>
                </c:pt>
                <c:pt idx="24">
                  <c:v>0.00219252559062511</c:v>
                </c:pt>
                <c:pt idx="25">
                  <c:v>0.00307568486268684</c:v>
                </c:pt>
                <c:pt idx="26">
                  <c:v>0.00410302585679644</c:v>
                </c:pt>
                <c:pt idx="27">
                  <c:v>0.00527193888230401</c:v>
                </c:pt>
                <c:pt idx="28">
                  <c:v>0.0065795869743239</c:v>
                </c:pt>
                <c:pt idx="29">
                  <c:v>0.00802293604052052</c:v>
                </c:pt>
                <c:pt idx="30">
                  <c:v>0.00959878279324032</c:v>
                </c:pt>
                <c:pt idx="31">
                  <c:v>0.0113037805604272</c:v>
                </c:pt>
                <c:pt idx="32">
                  <c:v>0.0131344630733436</c:v>
                </c:pt>
                <c:pt idx="33">
                  <c:v>0.0150872663318711</c:v>
                </c:pt>
                <c:pt idx="34">
                  <c:v>0.0171585486493828</c:v>
                </c:pt>
                <c:pt idx="35">
                  <c:v>0.0193446089791375</c:v>
                </c:pt>
                <c:pt idx="36">
                  <c:v>0.0216417036230953</c:v>
                </c:pt>
                <c:pt idx="37">
                  <c:v>0.0240460614221582</c:v>
                </c:pt>
                <c:pt idx="38">
                  <c:v>0.0265538975243275</c:v>
                </c:pt>
                <c:pt idx="39">
                  <c:v>0.0291614258242247</c:v>
                </c:pt>
                <c:pt idx="40">
                  <c:v>0.0318648701640272</c:v>
                </c:pt>
                <c:pt idx="41">
                  <c:v>0.034660474382182</c:v>
                </c:pt>
              </c:numCache>
            </c:numRef>
          </c:yVal>
        </c:ser>
        <c:ser>
          <c:idx val="5"/>
          <c:order val="4"/>
          <c:tx>
            <c:strRef>
              <c:f>'Grism model 1.3-1.867'!$G$11</c:f>
              <c:strCache>
                <c:ptCount val="1"/>
                <c:pt idx="0">
                  <c:v>E1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1.3-1.867'!$G$12:$G$53</c:f>
              <c:numCache>
                <c:formatCode>0.000</c:formatCode>
                <c:ptCount val="42"/>
                <c:pt idx="0">
                  <c:v>0.00707384443087137</c:v>
                </c:pt>
                <c:pt idx="1">
                  <c:v>0.00639971956401267</c:v>
                </c:pt>
                <c:pt idx="2">
                  <c:v>0.0057444113115496</c:v>
                </c:pt>
                <c:pt idx="3">
                  <c:v>0.00511245012572798</c:v>
                </c:pt>
                <c:pt idx="4">
                  <c:v>0.00450773254027792</c:v>
                </c:pt>
                <c:pt idx="5">
                  <c:v>0.00393362236539387</c:v>
                </c:pt>
                <c:pt idx="6">
                  <c:v>0.00339304268130156</c:v>
                </c:pt>
                <c:pt idx="7">
                  <c:v>0.00288837071278065</c:v>
                </c:pt>
                <c:pt idx="8">
                  <c:v>0.00242060297776216</c:v>
                </c:pt>
                <c:pt idx="9">
                  <c:v>0.00199102505963363</c:v>
                </c:pt>
                <c:pt idx="10">
                  <c:v>0.00159702889779686</c:v>
                </c:pt>
                <c:pt idx="11">
                  <c:v>0.00125165957737715</c:v>
                </c:pt>
                <c:pt idx="12">
                  <c:v>0.000950775546309947</c:v>
                </c:pt>
                <c:pt idx="13">
                  <c:v>0.000691723770629603</c:v>
                </c:pt>
                <c:pt idx="14">
                  <c:v>0.000474480664835081</c:v>
                </c:pt>
                <c:pt idx="15">
                  <c:v>0.000298798239291696</c:v>
                </c:pt>
                <c:pt idx="16">
                  <c:v>0.00016422612134905</c:v>
                </c:pt>
                <c:pt idx="17">
                  <c:v>7.01380357830754E-5</c:v>
                </c:pt>
                <c:pt idx="18">
                  <c:v>1.57535607797591E-5</c:v>
                </c:pt>
                <c:pt idx="19">
                  <c:v>1.58912816892348E-7</c:v>
                </c:pt>
                <c:pt idx="20">
                  <c:v>2.23268150979344E-5</c:v>
                </c:pt>
                <c:pt idx="21">
                  <c:v>8.11334245705326E-5</c:v>
                </c:pt>
                <c:pt idx="22">
                  <c:v>0.000175374118745477</c:v>
                </c:pt>
                <c:pt idx="23">
                  <c:v>0.000303778846681409</c:v>
                </c:pt>
                <c:pt idx="24">
                  <c:v>0.000465025593849359</c:v>
                </c:pt>
                <c:pt idx="25">
                  <c:v>0.000657752574591739</c:v>
                </c:pt>
                <c:pt idx="26">
                  <c:v>0.000880569226280014</c:v>
                </c:pt>
                <c:pt idx="27">
                  <c:v>0.00113206608019379</c:v>
                </c:pt>
                <c:pt idx="28">
                  <c:v>0.00141082358390941</c:v>
                </c:pt>
                <c:pt idx="29">
                  <c:v>0.00171541994883395</c:v>
                </c:pt>
                <c:pt idx="30">
                  <c:v>0.00204443809465487</c:v>
                </c:pt>
                <c:pt idx="31">
                  <c:v>0.00239647176006792</c:v>
                </c:pt>
                <c:pt idx="32">
                  <c:v>0.00277013084633449</c:v>
                </c:pt>
                <c:pt idx="33">
                  <c:v>0.00316404605712791</c:v>
                </c:pt>
                <c:pt idx="34">
                  <c:v>0.00357687289485083</c:v>
                </c:pt>
                <c:pt idx="35">
                  <c:v>0.00400729507022157</c:v>
                </c:pt>
                <c:pt idx="36">
                  <c:v>0.00445402737850684</c:v>
                </c:pt>
                <c:pt idx="37">
                  <c:v>0.00491581809236344</c:v>
                </c:pt>
                <c:pt idx="38">
                  <c:v>0.00539145091789574</c:v>
                </c:pt>
                <c:pt idx="39">
                  <c:v>0.00587974655725871</c:v>
                </c:pt>
                <c:pt idx="40">
                  <c:v>0.00637956391797202</c:v>
                </c:pt>
                <c:pt idx="41">
                  <c:v>0.00688980100606899</c:v>
                </c:pt>
              </c:numCache>
            </c:numRef>
          </c:yVal>
        </c:ser>
        <c:ser>
          <c:idx val="6"/>
          <c:order val="5"/>
          <c:tx>
            <c:strRef>
              <c:f>'Grism model 1.3-1.867'!$H$11</c:f>
              <c:strCache>
                <c:ptCount val="1"/>
                <c:pt idx="0">
                  <c:v>E2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1.3-1.867'!$H$12:$H$53</c:f>
              <c:numCache>
                <c:formatCode>0.000</c:formatCode>
                <c:ptCount val="42"/>
                <c:pt idx="0">
                  <c:v>0.00343168101861602</c:v>
                </c:pt>
                <c:pt idx="1">
                  <c:v>0.00309992360633288</c:v>
                </c:pt>
                <c:pt idx="2">
                  <c:v>0.00277903753440652</c:v>
                </c:pt>
                <c:pt idx="3">
                  <c:v>0.00247102731908365</c:v>
                </c:pt>
                <c:pt idx="4">
                  <c:v>0.00217756320459419</c:v>
                </c:pt>
                <c:pt idx="5">
                  <c:v>0.00190004819343444</c:v>
                </c:pt>
                <c:pt idx="6">
                  <c:v>0.00163967735549344</c:v>
                </c:pt>
                <c:pt idx="7">
                  <c:v>0.00139736732064878</c:v>
                </c:pt>
                <c:pt idx="8">
                  <c:v>0.00117337228390371</c:v>
                </c:pt>
                <c:pt idx="9">
                  <c:v>0.000968085123239991</c:v>
                </c:pt>
                <c:pt idx="10">
                  <c:v>0.000779998559422407</c:v>
                </c:pt>
                <c:pt idx="11">
                  <c:v>0.000615255814773318</c:v>
                </c:pt>
                <c:pt idx="12">
                  <c:v>0.000471662730126001</c:v>
                </c:pt>
                <c:pt idx="13">
                  <c:v>0.000347734591805614</c:v>
                </c:pt>
                <c:pt idx="14">
                  <c:v>0.000243284187358929</c:v>
                </c:pt>
                <c:pt idx="15">
                  <c:v>0.00015802847008639</c:v>
                </c:pt>
                <c:pt idx="16">
                  <c:v>9.15990328425484E-5</c:v>
                </c:pt>
                <c:pt idx="17">
                  <c:v>4.35556124995237E-5</c:v>
                </c:pt>
                <c:pt idx="18">
                  <c:v>1.33965833402556E-5</c:v>
                </c:pt>
                <c:pt idx="19">
                  <c:v>5.68942130852208E-7</c:v>
                </c:pt>
                <c:pt idx="20">
                  <c:v>4.47767913706566E-6</c:v>
                </c:pt>
                <c:pt idx="21">
                  <c:v>2.44939533912321E-5</c:v>
                </c:pt>
                <c:pt idx="22">
                  <c:v>5.99619053252745E-5</c:v>
                </c:pt>
                <c:pt idx="23">
                  <c:v>0.000110205830231373</c:v>
                </c:pt>
                <c:pt idx="24">
                  <c:v>0.000174536185386312</c:v>
                </c:pt>
                <c:pt idx="25">
                  <c:v>0.000252254940787313</c:v>
                </c:pt>
                <c:pt idx="26">
                  <c:v>0.000342660320789559</c:v>
                </c:pt>
                <c:pt idx="27">
                  <c:v>0.000445050982885819</c:v>
                </c:pt>
                <c:pt idx="28">
                  <c:v>0.000558729678389051</c:v>
                </c:pt>
                <c:pt idx="29">
                  <c:v>0.00068300643798267</c:v>
                </c:pt>
                <c:pt idx="30">
                  <c:v>0.00081720132308197</c:v>
                </c:pt>
                <c:pt idx="31">
                  <c:v>0.00096064678178208</c:v>
                </c:pt>
                <c:pt idx="32">
                  <c:v>0.00111268964591277</c:v>
                </c:pt>
                <c:pt idx="33">
                  <c:v>0.00127269280343023</c:v>
                </c:pt>
                <c:pt idx="34">
                  <c:v>0.0014400365780884</c:v>
                </c:pt>
                <c:pt idx="35">
                  <c:v>0.00161411984608073</c:v>
                </c:pt>
                <c:pt idx="36">
                  <c:v>0.00179436091714907</c:v>
                </c:pt>
                <c:pt idx="37">
                  <c:v>0.00198019820553934</c:v>
                </c:pt>
                <c:pt idx="38">
                  <c:v>0.00217109071415617</c:v>
                </c:pt>
                <c:pt idx="39">
                  <c:v>0.00236651835333907</c:v>
                </c:pt>
                <c:pt idx="40">
                  <c:v>0.00256598211385838</c:v>
                </c:pt>
                <c:pt idx="41">
                  <c:v>0.00276900411200981</c:v>
                </c:pt>
              </c:numCache>
            </c:numRef>
          </c:yVal>
        </c:ser>
        <c:dLbls/>
        <c:axId val="593156696"/>
        <c:axId val="593164552"/>
      </c:scatterChart>
      <c:valAx>
        <c:axId val="593156696"/>
        <c:scaling>
          <c:orientation val="minMax"/>
          <c:min val="1.1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3019670119647"/>
              <c:y val="0.89899211596461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164552"/>
        <c:crosses val="autoZero"/>
        <c:crossBetween val="midCat"/>
      </c:valAx>
      <c:valAx>
        <c:axId val="593164552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Absolute Efficiency</a:t>
                </a:r>
              </a:p>
            </c:rich>
          </c:tx>
          <c:layout>
            <c:manualLayout>
              <c:xMode val="edge"/>
              <c:yMode val="edge"/>
              <c:x val="0.00517063342784221"/>
              <c:y val="0.23737432275470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156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5478325619908"/>
          <c:y val="0.472090173013374"/>
          <c:w val="0.291338949038258"/>
          <c:h val="0.1718661561511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Grism order vs. prism with AR coatings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734229946753585"/>
          <c:y val="0.141414490151741"/>
          <c:w val="0.902792596501238"/>
          <c:h val="0.689395639489727"/>
        </c:manualLayout>
      </c:layout>
      <c:scatterChart>
        <c:scatterStyle val="lineMarker"/>
        <c:ser>
          <c:idx val="0"/>
          <c:order val="6"/>
          <c:tx>
            <c:strRef>
              <c:f>'Grism model 1.3-1.867'!$C$11</c:f>
              <c:strCache>
                <c:ptCount val="1"/>
                <c:pt idx="0">
                  <c:v>E-1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1.3-1.867'!$C$12:$C$53</c:f>
              <c:numCache>
                <c:formatCode>0.000</c:formatCode>
                <c:ptCount val="42"/>
                <c:pt idx="0">
                  <c:v>0.768976721256389</c:v>
                </c:pt>
                <c:pt idx="1">
                  <c:v>0.783296391762242</c:v>
                </c:pt>
                <c:pt idx="2">
                  <c:v>0.796552435410097</c:v>
                </c:pt>
                <c:pt idx="3">
                  <c:v>0.80876980787989</c:v>
                </c:pt>
                <c:pt idx="4">
                  <c:v>0.819976399173948</c:v>
                </c:pt>
                <c:pt idx="5">
                  <c:v>0.830202049939418</c:v>
                </c:pt>
                <c:pt idx="6">
                  <c:v>0.83947782735825</c:v>
                </c:pt>
                <c:pt idx="7">
                  <c:v>0.847836355197251</c:v>
                </c:pt>
                <c:pt idx="8">
                  <c:v>0.854968433973433</c:v>
                </c:pt>
                <c:pt idx="9">
                  <c:v>0.860563457150218</c:v>
                </c:pt>
                <c:pt idx="10">
                  <c:v>0.862132232724393</c:v>
                </c:pt>
                <c:pt idx="11">
                  <c:v>0.865562637418463</c:v>
                </c:pt>
                <c:pt idx="12">
                  <c:v>0.869806571209014</c:v>
                </c:pt>
                <c:pt idx="13">
                  <c:v>0.87334256871743</c:v>
                </c:pt>
                <c:pt idx="14">
                  <c:v>0.876203694402848</c:v>
                </c:pt>
                <c:pt idx="15">
                  <c:v>0.878422446422584</c:v>
                </c:pt>
                <c:pt idx="16">
                  <c:v>0.880030668818657</c:v>
                </c:pt>
                <c:pt idx="17">
                  <c:v>0.881059461245628</c:v>
                </c:pt>
                <c:pt idx="18">
                  <c:v>0.881539114986888</c:v>
                </c:pt>
                <c:pt idx="19">
                  <c:v>0.881499060697527</c:v>
                </c:pt>
                <c:pt idx="20">
                  <c:v>0.880967825589837</c:v>
                </c:pt>
                <c:pt idx="21">
                  <c:v>0.879973009141479</c:v>
                </c:pt>
                <c:pt idx="22">
                  <c:v>0.878541261483413</c:v>
                </c:pt>
                <c:pt idx="23">
                  <c:v>0.876698270684057</c:v>
                </c:pt>
                <c:pt idx="24">
                  <c:v>0.874468757824518</c:v>
                </c:pt>
                <c:pt idx="25">
                  <c:v>0.871876478101943</c:v>
                </c:pt>
                <c:pt idx="26">
                  <c:v>0.868944227083253</c:v>
                </c:pt>
                <c:pt idx="27">
                  <c:v>0.865693851327397</c:v>
                </c:pt>
                <c:pt idx="28">
                  <c:v>0.862146262681587</c:v>
                </c:pt>
                <c:pt idx="29">
                  <c:v>0.858321455636268</c:v>
                </c:pt>
                <c:pt idx="30">
                  <c:v>0.854238527195258</c:v>
                </c:pt>
                <c:pt idx="31">
                  <c:v>0.849915698782203</c:v>
                </c:pt>
                <c:pt idx="32">
                  <c:v>0.845370339762811</c:v>
                </c:pt>
                <c:pt idx="33">
                  <c:v>0.840618992214667</c:v>
                </c:pt>
                <c:pt idx="34">
                  <c:v>0.835677396623398</c:v>
                </c:pt>
                <c:pt idx="35">
                  <c:v>0.830560518225981</c:v>
                </c:pt>
                <c:pt idx="36">
                  <c:v>0.825282573759458</c:v>
                </c:pt>
                <c:pt idx="37">
                  <c:v>0.81985705840679</c:v>
                </c:pt>
                <c:pt idx="38">
                  <c:v>0.814296772761261</c:v>
                </c:pt>
                <c:pt idx="39">
                  <c:v>0.808613849657254</c:v>
                </c:pt>
                <c:pt idx="40">
                  <c:v>0.802819780738552</c:v>
                </c:pt>
                <c:pt idx="41">
                  <c:v>0.796925442655975</c:v>
                </c:pt>
              </c:numCache>
            </c:numRef>
          </c:yVal>
        </c:ser>
        <c:ser>
          <c:idx val="7"/>
          <c:order val="7"/>
          <c:tx>
            <c:strRef>
              <c:f>'Grism model 1.3-1.867'!$D$11</c:f>
              <c:strCache>
                <c:ptCount val="1"/>
                <c:pt idx="0">
                  <c:v>E-2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1.3-1.867'!$D$12:$D$53</c:f>
              <c:numCache>
                <c:formatCode>0.000</c:formatCode>
                <c:ptCount val="42"/>
                <c:pt idx="0">
                  <c:v>0.0524463628630879</c:v>
                </c:pt>
                <c:pt idx="1">
                  <c:v>0.0451094788467279</c:v>
                </c:pt>
                <c:pt idx="2">
                  <c:v>0.0385353051549108</c:v>
                </c:pt>
                <c:pt idx="3">
                  <c:v>0.0326685065326739</c:v>
                </c:pt>
                <c:pt idx="4">
                  <c:v>0.0274564492314546</c:v>
                </c:pt>
                <c:pt idx="5">
                  <c:v>0.0228492259360419</c:v>
                </c:pt>
                <c:pt idx="6">
                  <c:v>0.0187996317427287</c:v>
                </c:pt>
                <c:pt idx="7">
                  <c:v>0.0152632011655663</c:v>
                </c:pt>
                <c:pt idx="8">
                  <c:v>0.0121932302679502</c:v>
                </c:pt>
                <c:pt idx="9">
                  <c:v>0.00954992381043178</c:v>
                </c:pt>
                <c:pt idx="10">
                  <c:v>0.00728020278803744</c:v>
                </c:pt>
                <c:pt idx="11">
                  <c:v>0.00540612163758192</c:v>
                </c:pt>
                <c:pt idx="12">
                  <c:v>0.00387158490330304</c:v>
                </c:pt>
                <c:pt idx="13">
                  <c:v>0.00263394447252743</c:v>
                </c:pt>
                <c:pt idx="14">
                  <c:v>0.00166576901174881</c:v>
                </c:pt>
                <c:pt idx="15">
                  <c:v>0.000941604754614976</c:v>
                </c:pt>
                <c:pt idx="16">
                  <c:v>0.00043786905998222</c:v>
                </c:pt>
                <c:pt idx="17">
                  <c:v>0.000132742173712978</c:v>
                </c:pt>
                <c:pt idx="18">
                  <c:v>6.06290660617767E-6</c:v>
                </c:pt>
                <c:pt idx="19">
                  <c:v>3.92269260574678E-5</c:v>
                </c:pt>
                <c:pt idx="20">
                  <c:v>0.000215087875758291</c:v>
                </c:pt>
                <c:pt idx="21">
                  <c:v>0.000517864088637727</c:v>
                </c:pt>
                <c:pt idx="22">
                  <c:v>0.000933047796969022</c:v>
                </c:pt>
                <c:pt idx="23">
                  <c:v>0.00144731888882564</c:v>
                </c:pt>
                <c:pt idx="24">
                  <c:v>0.00204846307184133</c:v>
                </c:pt>
                <c:pt idx="25">
                  <c:v>0.00272529435940837</c:v>
                </c:pt>
                <c:pt idx="26">
                  <c:v>0.0034675818450122</c:v>
                </c:pt>
                <c:pt idx="27">
                  <c:v>0.00426598069071405</c:v>
                </c:pt>
                <c:pt idx="28">
                  <c:v>0.00511196722500498</c:v>
                </c:pt>
                <c:pt idx="29">
                  <c:v>0.00599777802188865</c:v>
                </c:pt>
                <c:pt idx="30">
                  <c:v>0.00691635281585966</c:v>
                </c:pt>
                <c:pt idx="31">
                  <c:v>0.00786128109535578</c:v>
                </c:pt>
                <c:pt idx="32">
                  <c:v>0.0088267522093668</c:v>
                </c:pt>
                <c:pt idx="33">
                  <c:v>0.0098075088174154</c:v>
                </c:pt>
                <c:pt idx="34">
                  <c:v>0.010798803511423</c:v>
                </c:pt>
                <c:pt idx="35">
                  <c:v>0.011796358438502</c:v>
                </c:pt>
                <c:pt idx="36">
                  <c:v>0.012796327756001</c:v>
                </c:pt>
                <c:pt idx="37">
                  <c:v>0.0137952627537858</c:v>
                </c:pt>
                <c:pt idx="38">
                  <c:v>0.0147900794834595</c:v>
                </c:pt>
                <c:pt idx="39">
                  <c:v>0.0157780287397124</c:v>
                </c:pt>
                <c:pt idx="40">
                  <c:v>0.0167566682450592</c:v>
                </c:pt>
                <c:pt idx="41">
                  <c:v>0.0177238368956509</c:v>
                </c:pt>
              </c:numCache>
            </c:numRef>
          </c:yVal>
        </c:ser>
        <c:ser>
          <c:idx val="8"/>
          <c:order val="8"/>
          <c:tx>
            <c:strRef>
              <c:f>'Grism model 1.3-1.867'!$E$11</c:f>
              <c:strCache>
                <c:ptCount val="1"/>
                <c:pt idx="0">
                  <c:v>E-3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1.3-1.867'!$E$12:$E$53</c:f>
              <c:numCache>
                <c:formatCode>0.000</c:formatCode>
                <c:ptCount val="42"/>
                <c:pt idx="0">
                  <c:v>0.0101699455574899</c:v>
                </c:pt>
                <c:pt idx="1">
                  <c:v>0.00890803735040857</c:v>
                </c:pt>
                <c:pt idx="2">
                  <c:v>0.00774268596392754</c:v>
                </c:pt>
                <c:pt idx="3">
                  <c:v>0.00667278334330612</c:v>
                </c:pt>
                <c:pt idx="4">
                  <c:v>0.00569653234048042</c:v>
                </c:pt>
                <c:pt idx="5">
                  <c:v>0.00481153242377599</c:v>
                </c:pt>
                <c:pt idx="6">
                  <c:v>0.00401486263890083</c:v>
                </c:pt>
                <c:pt idx="7">
                  <c:v>0.0033032718088631</c:v>
                </c:pt>
                <c:pt idx="8">
                  <c:v>0.00267213558463173</c:v>
                </c:pt>
                <c:pt idx="9">
                  <c:v>0.00211753480762577</c:v>
                </c:pt>
                <c:pt idx="10">
                  <c:v>0.00163187265368751</c:v>
                </c:pt>
                <c:pt idx="11">
                  <c:v>0.00122379296625986</c:v>
                </c:pt>
                <c:pt idx="12">
                  <c:v>0.000884016480696973</c:v>
                </c:pt>
                <c:pt idx="13">
                  <c:v>0.000605644282497508</c:v>
                </c:pt>
                <c:pt idx="14">
                  <c:v>0.000384763671912196</c:v>
                </c:pt>
                <c:pt idx="15">
                  <c:v>0.000217532663254663</c:v>
                </c:pt>
                <c:pt idx="16">
                  <c:v>0.000100203875329468</c:v>
                </c:pt>
                <c:pt idx="17">
                  <c:v>2.91408234080489E-5</c:v>
                </c:pt>
                <c:pt idx="18">
                  <c:v>8.31819518227805E-7</c:v>
                </c:pt>
                <c:pt idx="19">
                  <c:v>1.19001484931701E-5</c:v>
                </c:pt>
                <c:pt idx="20">
                  <c:v>5.91107674444453E-5</c:v>
                </c:pt>
                <c:pt idx="21">
                  <c:v>0.000139376170912332</c:v>
                </c:pt>
                <c:pt idx="22">
                  <c:v>0.000249758626027802</c:v>
                </c:pt>
                <c:pt idx="23">
                  <c:v>0.000387471038694122</c:v>
                </c:pt>
                <c:pt idx="24">
                  <c:v>0.000549876426482621</c:v>
                </c:pt>
                <c:pt idx="25">
                  <c:v>0.000734486189353024</c:v>
                </c:pt>
                <c:pt idx="26">
                  <c:v>0.000938957401817792</c:v>
                </c:pt>
                <c:pt idx="27">
                  <c:v>0.00116108931996854</c:v>
                </c:pt>
                <c:pt idx="28">
                  <c:v>0.00139881927000756</c:v>
                </c:pt>
                <c:pt idx="29">
                  <c:v>0.00165021806126319</c:v>
                </c:pt>
                <c:pt idx="30">
                  <c:v>0.00191348504581848</c:v>
                </c:pt>
                <c:pt idx="31">
                  <c:v>0.00218694292856679</c:v>
                </c:pt>
                <c:pt idx="32">
                  <c:v>0.00246903241546243</c:v>
                </c:pt>
                <c:pt idx="33">
                  <c:v>0.00275830677372027</c:v>
                </c:pt>
                <c:pt idx="34">
                  <c:v>0.00305342636551008</c:v>
                </c:pt>
                <c:pt idx="35">
                  <c:v>0.00335315320608983</c:v>
                </c:pt>
                <c:pt idx="36">
                  <c:v>0.00365634558814108</c:v>
                </c:pt>
                <c:pt idx="37">
                  <c:v>0.00396195280614451</c:v>
                </c:pt>
                <c:pt idx="38">
                  <c:v>0.00426901000781481</c:v>
                </c:pt>
                <c:pt idx="39">
                  <c:v>0.00457663319376769</c:v>
                </c:pt>
                <c:pt idx="40">
                  <c:v>0.00488401438159772</c:v>
                </c:pt>
                <c:pt idx="41">
                  <c:v>0.00519041694629761</c:v>
                </c:pt>
              </c:numCache>
            </c:numRef>
          </c:yVal>
        </c:ser>
        <c:ser>
          <c:idx val="9"/>
          <c:order val="9"/>
          <c:tx>
            <c:strRef>
              <c:f>'Grism model 1.3-1.867'!$F$11</c:f>
              <c:strCache>
                <c:ptCount val="1"/>
                <c:pt idx="0">
                  <c:v>E0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1.3-1.867'!$F$12:$F$53</c:f>
              <c:numCache>
                <c:formatCode>0.000</c:formatCode>
                <c:ptCount val="42"/>
                <c:pt idx="0">
                  <c:v>0.0231673820922017</c:v>
                </c:pt>
                <c:pt idx="1">
                  <c:v>0.0211343457359374</c:v>
                </c:pt>
                <c:pt idx="2">
                  <c:v>0.0191237637122252</c:v>
                </c:pt>
                <c:pt idx="3">
                  <c:v>0.0171527031616422</c:v>
                </c:pt>
                <c:pt idx="4">
                  <c:v>0.015236757876988</c:v>
                </c:pt>
                <c:pt idx="5">
                  <c:v>0.0133902010798249</c:v>
                </c:pt>
                <c:pt idx="6">
                  <c:v>0.0116261375953658</c:v>
                </c:pt>
                <c:pt idx="7">
                  <c:v>0.00995625036615711</c:v>
                </c:pt>
                <c:pt idx="8">
                  <c:v>0.00838769335910608</c:v>
                </c:pt>
                <c:pt idx="9">
                  <c:v>0.00692881474202418</c:v>
                </c:pt>
                <c:pt idx="10">
                  <c:v>0.00557456617785547</c:v>
                </c:pt>
                <c:pt idx="11">
                  <c:v>0.00437470842810039</c:v>
                </c:pt>
                <c:pt idx="12">
                  <c:v>0.0033191671597558</c:v>
                </c:pt>
                <c:pt idx="13">
                  <c:v>0.00240295722345448</c:v>
                </c:pt>
                <c:pt idx="14">
                  <c:v>0.00163025808162205</c:v>
                </c:pt>
                <c:pt idx="15">
                  <c:v>0.00100441808237461</c:v>
                </c:pt>
                <c:pt idx="16">
                  <c:v>0.000528005580507844</c:v>
                </c:pt>
                <c:pt idx="17">
                  <c:v>0.000202872268874856</c:v>
                </c:pt>
                <c:pt idx="18">
                  <c:v>3.02079239369902E-5</c:v>
                </c:pt>
                <c:pt idx="19">
                  <c:v>1.05946045598977E-5</c:v>
                </c:pt>
                <c:pt idx="20">
                  <c:v>0.000144060745468749</c:v>
                </c:pt>
                <c:pt idx="21">
                  <c:v>0.000430127775807435</c:v>
                </c:pt>
                <c:pt idx="22">
                  <c:v>0.000867857537101775</c:v>
                </c:pt>
                <c:pt idx="23">
                  <c:v>0.00145589800895005</c:v>
                </c:pt>
                <c:pt idx="24">
                  <c:v>0.00219252559062511</c:v>
                </c:pt>
                <c:pt idx="25">
                  <c:v>0.00307568486268684</c:v>
                </c:pt>
                <c:pt idx="26">
                  <c:v>0.00410302585679644</c:v>
                </c:pt>
                <c:pt idx="27">
                  <c:v>0.00527193888230401</c:v>
                </c:pt>
                <c:pt idx="28">
                  <c:v>0.0065795869743239</c:v>
                </c:pt>
                <c:pt idx="29">
                  <c:v>0.00802293604052052</c:v>
                </c:pt>
                <c:pt idx="30">
                  <c:v>0.00959878279324032</c:v>
                </c:pt>
                <c:pt idx="31">
                  <c:v>0.0113037805604272</c:v>
                </c:pt>
                <c:pt idx="32">
                  <c:v>0.0131344630733436</c:v>
                </c:pt>
                <c:pt idx="33">
                  <c:v>0.0150872663318711</c:v>
                </c:pt>
                <c:pt idx="34">
                  <c:v>0.0171585486493828</c:v>
                </c:pt>
                <c:pt idx="35">
                  <c:v>0.0193446089791375</c:v>
                </c:pt>
                <c:pt idx="36">
                  <c:v>0.0216417036230953</c:v>
                </c:pt>
                <c:pt idx="37">
                  <c:v>0.0240460614221582</c:v>
                </c:pt>
                <c:pt idx="38">
                  <c:v>0.0265538975243275</c:v>
                </c:pt>
                <c:pt idx="39">
                  <c:v>0.0291614258242247</c:v>
                </c:pt>
                <c:pt idx="40">
                  <c:v>0.0318648701640272</c:v>
                </c:pt>
                <c:pt idx="41">
                  <c:v>0.034660474382182</c:v>
                </c:pt>
              </c:numCache>
            </c:numRef>
          </c:yVal>
        </c:ser>
        <c:ser>
          <c:idx val="10"/>
          <c:order val="10"/>
          <c:tx>
            <c:strRef>
              <c:f>'Grism model 1.3-1.867'!$G$11</c:f>
              <c:strCache>
                <c:ptCount val="1"/>
                <c:pt idx="0">
                  <c:v>E1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1.3-1.867'!$G$12:$G$53</c:f>
              <c:numCache>
                <c:formatCode>0.000</c:formatCode>
                <c:ptCount val="42"/>
                <c:pt idx="0">
                  <c:v>0.00707384443087137</c:v>
                </c:pt>
                <c:pt idx="1">
                  <c:v>0.00639971956401267</c:v>
                </c:pt>
                <c:pt idx="2">
                  <c:v>0.0057444113115496</c:v>
                </c:pt>
                <c:pt idx="3">
                  <c:v>0.00511245012572798</c:v>
                </c:pt>
                <c:pt idx="4">
                  <c:v>0.00450773254027792</c:v>
                </c:pt>
                <c:pt idx="5">
                  <c:v>0.00393362236539387</c:v>
                </c:pt>
                <c:pt idx="6">
                  <c:v>0.00339304268130156</c:v>
                </c:pt>
                <c:pt idx="7">
                  <c:v>0.00288837071278065</c:v>
                </c:pt>
                <c:pt idx="8">
                  <c:v>0.00242060297776216</c:v>
                </c:pt>
                <c:pt idx="9">
                  <c:v>0.00199102505963363</c:v>
                </c:pt>
                <c:pt idx="10">
                  <c:v>0.00159702889779686</c:v>
                </c:pt>
                <c:pt idx="11">
                  <c:v>0.00125165957737715</c:v>
                </c:pt>
                <c:pt idx="12">
                  <c:v>0.000950775546309947</c:v>
                </c:pt>
                <c:pt idx="13">
                  <c:v>0.000691723770629603</c:v>
                </c:pt>
                <c:pt idx="14">
                  <c:v>0.000474480664835081</c:v>
                </c:pt>
                <c:pt idx="15">
                  <c:v>0.000298798239291696</c:v>
                </c:pt>
                <c:pt idx="16">
                  <c:v>0.00016422612134905</c:v>
                </c:pt>
                <c:pt idx="17">
                  <c:v>7.01380357830754E-5</c:v>
                </c:pt>
                <c:pt idx="18">
                  <c:v>1.57535607797591E-5</c:v>
                </c:pt>
                <c:pt idx="19">
                  <c:v>1.58912816892348E-7</c:v>
                </c:pt>
                <c:pt idx="20">
                  <c:v>2.23268150979344E-5</c:v>
                </c:pt>
                <c:pt idx="21">
                  <c:v>8.11334245705326E-5</c:v>
                </c:pt>
                <c:pt idx="22">
                  <c:v>0.000175374118745477</c:v>
                </c:pt>
                <c:pt idx="23">
                  <c:v>0.000303778846681409</c:v>
                </c:pt>
                <c:pt idx="24">
                  <c:v>0.000465025593849359</c:v>
                </c:pt>
                <c:pt idx="25">
                  <c:v>0.000657752574591739</c:v>
                </c:pt>
                <c:pt idx="26">
                  <c:v>0.000880569226280014</c:v>
                </c:pt>
                <c:pt idx="27">
                  <c:v>0.00113206608019379</c:v>
                </c:pt>
                <c:pt idx="28">
                  <c:v>0.00141082358390941</c:v>
                </c:pt>
                <c:pt idx="29">
                  <c:v>0.00171541994883395</c:v>
                </c:pt>
                <c:pt idx="30">
                  <c:v>0.00204443809465487</c:v>
                </c:pt>
                <c:pt idx="31">
                  <c:v>0.00239647176006792</c:v>
                </c:pt>
                <c:pt idx="32">
                  <c:v>0.00277013084633449</c:v>
                </c:pt>
                <c:pt idx="33">
                  <c:v>0.00316404605712791</c:v>
                </c:pt>
                <c:pt idx="34">
                  <c:v>0.00357687289485083</c:v>
                </c:pt>
                <c:pt idx="35">
                  <c:v>0.00400729507022157</c:v>
                </c:pt>
                <c:pt idx="36">
                  <c:v>0.00445402737850684</c:v>
                </c:pt>
                <c:pt idx="37">
                  <c:v>0.00491581809236344</c:v>
                </c:pt>
                <c:pt idx="38">
                  <c:v>0.00539145091789574</c:v>
                </c:pt>
                <c:pt idx="39">
                  <c:v>0.00587974655725871</c:v>
                </c:pt>
                <c:pt idx="40">
                  <c:v>0.00637956391797202</c:v>
                </c:pt>
                <c:pt idx="41">
                  <c:v>0.00688980100606899</c:v>
                </c:pt>
              </c:numCache>
            </c:numRef>
          </c:yVal>
        </c:ser>
        <c:ser>
          <c:idx val="11"/>
          <c:order val="11"/>
          <c:tx>
            <c:strRef>
              <c:f>'Grism model 1.3-1.867'!$H$11</c:f>
              <c:strCache>
                <c:ptCount val="1"/>
                <c:pt idx="0">
                  <c:v>E2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1.3-1.867'!$H$12:$H$53</c:f>
              <c:numCache>
                <c:formatCode>0.000</c:formatCode>
                <c:ptCount val="42"/>
                <c:pt idx="0">
                  <c:v>0.00343168101861602</c:v>
                </c:pt>
                <c:pt idx="1">
                  <c:v>0.00309992360633288</c:v>
                </c:pt>
                <c:pt idx="2">
                  <c:v>0.00277903753440652</c:v>
                </c:pt>
                <c:pt idx="3">
                  <c:v>0.00247102731908365</c:v>
                </c:pt>
                <c:pt idx="4">
                  <c:v>0.00217756320459419</c:v>
                </c:pt>
                <c:pt idx="5">
                  <c:v>0.00190004819343444</c:v>
                </c:pt>
                <c:pt idx="6">
                  <c:v>0.00163967735549344</c:v>
                </c:pt>
                <c:pt idx="7">
                  <c:v>0.00139736732064878</c:v>
                </c:pt>
                <c:pt idx="8">
                  <c:v>0.00117337228390371</c:v>
                </c:pt>
                <c:pt idx="9">
                  <c:v>0.000968085123239991</c:v>
                </c:pt>
                <c:pt idx="10">
                  <c:v>0.000779998559422407</c:v>
                </c:pt>
                <c:pt idx="11">
                  <c:v>0.000615255814773318</c:v>
                </c:pt>
                <c:pt idx="12">
                  <c:v>0.000471662730126001</c:v>
                </c:pt>
                <c:pt idx="13">
                  <c:v>0.000347734591805614</c:v>
                </c:pt>
                <c:pt idx="14">
                  <c:v>0.000243284187358929</c:v>
                </c:pt>
                <c:pt idx="15">
                  <c:v>0.00015802847008639</c:v>
                </c:pt>
                <c:pt idx="16">
                  <c:v>9.15990328425484E-5</c:v>
                </c:pt>
                <c:pt idx="17">
                  <c:v>4.35556124995237E-5</c:v>
                </c:pt>
                <c:pt idx="18">
                  <c:v>1.33965833402556E-5</c:v>
                </c:pt>
                <c:pt idx="19">
                  <c:v>5.68942130852208E-7</c:v>
                </c:pt>
                <c:pt idx="20">
                  <c:v>4.47767913706566E-6</c:v>
                </c:pt>
                <c:pt idx="21">
                  <c:v>2.44939533912321E-5</c:v>
                </c:pt>
                <c:pt idx="22">
                  <c:v>5.99619053252745E-5</c:v>
                </c:pt>
                <c:pt idx="23">
                  <c:v>0.000110205830231373</c:v>
                </c:pt>
                <c:pt idx="24">
                  <c:v>0.000174536185386312</c:v>
                </c:pt>
                <c:pt idx="25">
                  <c:v>0.000252254940787313</c:v>
                </c:pt>
                <c:pt idx="26">
                  <c:v>0.000342660320789559</c:v>
                </c:pt>
                <c:pt idx="27">
                  <c:v>0.000445050982885819</c:v>
                </c:pt>
                <c:pt idx="28">
                  <c:v>0.000558729678389051</c:v>
                </c:pt>
                <c:pt idx="29">
                  <c:v>0.00068300643798267</c:v>
                </c:pt>
                <c:pt idx="30">
                  <c:v>0.00081720132308197</c:v>
                </c:pt>
                <c:pt idx="31">
                  <c:v>0.00096064678178208</c:v>
                </c:pt>
                <c:pt idx="32">
                  <c:v>0.00111268964591277</c:v>
                </c:pt>
                <c:pt idx="33">
                  <c:v>0.00127269280343023</c:v>
                </c:pt>
                <c:pt idx="34">
                  <c:v>0.0014400365780884</c:v>
                </c:pt>
                <c:pt idx="35">
                  <c:v>0.00161411984608073</c:v>
                </c:pt>
                <c:pt idx="36">
                  <c:v>0.00179436091714907</c:v>
                </c:pt>
                <c:pt idx="37">
                  <c:v>0.00198019820553934</c:v>
                </c:pt>
                <c:pt idx="38">
                  <c:v>0.00217109071415617</c:v>
                </c:pt>
                <c:pt idx="39">
                  <c:v>0.00236651835333907</c:v>
                </c:pt>
                <c:pt idx="40">
                  <c:v>0.00256598211385838</c:v>
                </c:pt>
                <c:pt idx="41">
                  <c:v>0.00276900411200981</c:v>
                </c:pt>
              </c:numCache>
            </c:numRef>
          </c:yVal>
        </c:ser>
        <c:ser>
          <c:idx val="1"/>
          <c:order val="0"/>
          <c:tx>
            <c:strRef>
              <c:f>'Grism model 1.3-1.867'!$C$11</c:f>
              <c:strCache>
                <c:ptCount val="1"/>
                <c:pt idx="0">
                  <c:v>E-1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1.3-1.867'!$C$12:$C$53</c:f>
              <c:numCache>
                <c:formatCode>0.000</c:formatCode>
                <c:ptCount val="42"/>
                <c:pt idx="0">
                  <c:v>0.768976721256389</c:v>
                </c:pt>
                <c:pt idx="1">
                  <c:v>0.783296391762242</c:v>
                </c:pt>
                <c:pt idx="2">
                  <c:v>0.796552435410097</c:v>
                </c:pt>
                <c:pt idx="3">
                  <c:v>0.80876980787989</c:v>
                </c:pt>
                <c:pt idx="4">
                  <c:v>0.819976399173948</c:v>
                </c:pt>
                <c:pt idx="5">
                  <c:v>0.830202049939418</c:v>
                </c:pt>
                <c:pt idx="6">
                  <c:v>0.83947782735825</c:v>
                </c:pt>
                <c:pt idx="7">
                  <c:v>0.847836355197251</c:v>
                </c:pt>
                <c:pt idx="8">
                  <c:v>0.854968433973433</c:v>
                </c:pt>
                <c:pt idx="9">
                  <c:v>0.860563457150218</c:v>
                </c:pt>
                <c:pt idx="10">
                  <c:v>0.862132232724393</c:v>
                </c:pt>
                <c:pt idx="11">
                  <c:v>0.865562637418463</c:v>
                </c:pt>
                <c:pt idx="12">
                  <c:v>0.869806571209014</c:v>
                </c:pt>
                <c:pt idx="13">
                  <c:v>0.87334256871743</c:v>
                </c:pt>
                <c:pt idx="14">
                  <c:v>0.876203694402848</c:v>
                </c:pt>
                <c:pt idx="15">
                  <c:v>0.878422446422584</c:v>
                </c:pt>
                <c:pt idx="16">
                  <c:v>0.880030668818657</c:v>
                </c:pt>
                <c:pt idx="17">
                  <c:v>0.881059461245628</c:v>
                </c:pt>
                <c:pt idx="18">
                  <c:v>0.881539114986888</c:v>
                </c:pt>
                <c:pt idx="19">
                  <c:v>0.881499060697527</c:v>
                </c:pt>
                <c:pt idx="20">
                  <c:v>0.880967825589837</c:v>
                </c:pt>
                <c:pt idx="21">
                  <c:v>0.879973009141479</c:v>
                </c:pt>
                <c:pt idx="22">
                  <c:v>0.878541261483413</c:v>
                </c:pt>
                <c:pt idx="23">
                  <c:v>0.876698270684057</c:v>
                </c:pt>
                <c:pt idx="24">
                  <c:v>0.874468757824518</c:v>
                </c:pt>
                <c:pt idx="25">
                  <c:v>0.871876478101943</c:v>
                </c:pt>
                <c:pt idx="26">
                  <c:v>0.868944227083253</c:v>
                </c:pt>
                <c:pt idx="27">
                  <c:v>0.865693851327397</c:v>
                </c:pt>
                <c:pt idx="28">
                  <c:v>0.862146262681587</c:v>
                </c:pt>
                <c:pt idx="29">
                  <c:v>0.858321455636268</c:v>
                </c:pt>
                <c:pt idx="30">
                  <c:v>0.854238527195258</c:v>
                </c:pt>
                <c:pt idx="31">
                  <c:v>0.849915698782203</c:v>
                </c:pt>
                <c:pt idx="32">
                  <c:v>0.845370339762811</c:v>
                </c:pt>
                <c:pt idx="33">
                  <c:v>0.840618992214667</c:v>
                </c:pt>
                <c:pt idx="34">
                  <c:v>0.835677396623398</c:v>
                </c:pt>
                <c:pt idx="35">
                  <c:v>0.830560518225981</c:v>
                </c:pt>
                <c:pt idx="36">
                  <c:v>0.825282573759458</c:v>
                </c:pt>
                <c:pt idx="37">
                  <c:v>0.81985705840679</c:v>
                </c:pt>
                <c:pt idx="38">
                  <c:v>0.814296772761261</c:v>
                </c:pt>
                <c:pt idx="39">
                  <c:v>0.808613849657254</c:v>
                </c:pt>
                <c:pt idx="40">
                  <c:v>0.802819780738552</c:v>
                </c:pt>
                <c:pt idx="41">
                  <c:v>0.796925442655975</c:v>
                </c:pt>
              </c:numCache>
            </c:numRef>
          </c:yVal>
        </c:ser>
        <c:ser>
          <c:idx val="2"/>
          <c:order val="1"/>
          <c:tx>
            <c:strRef>
              <c:f>'Grism model 1.3-1.867'!$D$11</c:f>
              <c:strCache>
                <c:ptCount val="1"/>
                <c:pt idx="0">
                  <c:v>E-2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1.3-1.867'!$D$12:$D$53</c:f>
              <c:numCache>
                <c:formatCode>0.000</c:formatCode>
                <c:ptCount val="42"/>
                <c:pt idx="0">
                  <c:v>0.0524463628630879</c:v>
                </c:pt>
                <c:pt idx="1">
                  <c:v>0.0451094788467279</c:v>
                </c:pt>
                <c:pt idx="2">
                  <c:v>0.0385353051549108</c:v>
                </c:pt>
                <c:pt idx="3">
                  <c:v>0.0326685065326739</c:v>
                </c:pt>
                <c:pt idx="4">
                  <c:v>0.0274564492314546</c:v>
                </c:pt>
                <c:pt idx="5">
                  <c:v>0.0228492259360419</c:v>
                </c:pt>
                <c:pt idx="6">
                  <c:v>0.0187996317427287</c:v>
                </c:pt>
                <c:pt idx="7">
                  <c:v>0.0152632011655663</c:v>
                </c:pt>
                <c:pt idx="8">
                  <c:v>0.0121932302679502</c:v>
                </c:pt>
                <c:pt idx="9">
                  <c:v>0.00954992381043178</c:v>
                </c:pt>
                <c:pt idx="10">
                  <c:v>0.00728020278803744</c:v>
                </c:pt>
                <c:pt idx="11">
                  <c:v>0.00540612163758192</c:v>
                </c:pt>
                <c:pt idx="12">
                  <c:v>0.00387158490330304</c:v>
                </c:pt>
                <c:pt idx="13">
                  <c:v>0.00263394447252743</c:v>
                </c:pt>
                <c:pt idx="14">
                  <c:v>0.00166576901174881</c:v>
                </c:pt>
                <c:pt idx="15">
                  <c:v>0.000941604754614976</c:v>
                </c:pt>
                <c:pt idx="16">
                  <c:v>0.00043786905998222</c:v>
                </c:pt>
                <c:pt idx="17">
                  <c:v>0.000132742173712978</c:v>
                </c:pt>
                <c:pt idx="18">
                  <c:v>6.06290660617767E-6</c:v>
                </c:pt>
                <c:pt idx="19">
                  <c:v>3.92269260574678E-5</c:v>
                </c:pt>
                <c:pt idx="20">
                  <c:v>0.000215087875758291</c:v>
                </c:pt>
                <c:pt idx="21">
                  <c:v>0.000517864088637727</c:v>
                </c:pt>
                <c:pt idx="22">
                  <c:v>0.000933047796969022</c:v>
                </c:pt>
                <c:pt idx="23">
                  <c:v>0.00144731888882564</c:v>
                </c:pt>
                <c:pt idx="24">
                  <c:v>0.00204846307184133</c:v>
                </c:pt>
                <c:pt idx="25">
                  <c:v>0.00272529435940837</c:v>
                </c:pt>
                <c:pt idx="26">
                  <c:v>0.0034675818450122</c:v>
                </c:pt>
                <c:pt idx="27">
                  <c:v>0.00426598069071405</c:v>
                </c:pt>
                <c:pt idx="28">
                  <c:v>0.00511196722500498</c:v>
                </c:pt>
                <c:pt idx="29">
                  <c:v>0.00599777802188865</c:v>
                </c:pt>
                <c:pt idx="30">
                  <c:v>0.00691635281585966</c:v>
                </c:pt>
                <c:pt idx="31">
                  <c:v>0.00786128109535578</c:v>
                </c:pt>
                <c:pt idx="32">
                  <c:v>0.0088267522093668</c:v>
                </c:pt>
                <c:pt idx="33">
                  <c:v>0.0098075088174154</c:v>
                </c:pt>
                <c:pt idx="34">
                  <c:v>0.010798803511423</c:v>
                </c:pt>
                <c:pt idx="35">
                  <c:v>0.011796358438502</c:v>
                </c:pt>
                <c:pt idx="36">
                  <c:v>0.012796327756001</c:v>
                </c:pt>
                <c:pt idx="37">
                  <c:v>0.0137952627537858</c:v>
                </c:pt>
                <c:pt idx="38">
                  <c:v>0.0147900794834595</c:v>
                </c:pt>
                <c:pt idx="39">
                  <c:v>0.0157780287397124</c:v>
                </c:pt>
                <c:pt idx="40">
                  <c:v>0.0167566682450592</c:v>
                </c:pt>
                <c:pt idx="41">
                  <c:v>0.0177238368956509</c:v>
                </c:pt>
              </c:numCache>
            </c:numRef>
          </c:yVal>
        </c:ser>
        <c:ser>
          <c:idx val="3"/>
          <c:order val="2"/>
          <c:tx>
            <c:strRef>
              <c:f>'Grism model 1.3-1.867'!$E$11</c:f>
              <c:strCache>
                <c:ptCount val="1"/>
                <c:pt idx="0">
                  <c:v>E-3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1.3-1.867'!$E$12:$E$53</c:f>
              <c:numCache>
                <c:formatCode>0.000</c:formatCode>
                <c:ptCount val="42"/>
                <c:pt idx="0">
                  <c:v>0.0101699455574899</c:v>
                </c:pt>
                <c:pt idx="1">
                  <c:v>0.00890803735040857</c:v>
                </c:pt>
                <c:pt idx="2">
                  <c:v>0.00774268596392754</c:v>
                </c:pt>
                <c:pt idx="3">
                  <c:v>0.00667278334330612</c:v>
                </c:pt>
                <c:pt idx="4">
                  <c:v>0.00569653234048042</c:v>
                </c:pt>
                <c:pt idx="5">
                  <c:v>0.00481153242377599</c:v>
                </c:pt>
                <c:pt idx="6">
                  <c:v>0.00401486263890083</c:v>
                </c:pt>
                <c:pt idx="7">
                  <c:v>0.0033032718088631</c:v>
                </c:pt>
                <c:pt idx="8">
                  <c:v>0.00267213558463173</c:v>
                </c:pt>
                <c:pt idx="9">
                  <c:v>0.00211753480762577</c:v>
                </c:pt>
                <c:pt idx="10">
                  <c:v>0.00163187265368751</c:v>
                </c:pt>
                <c:pt idx="11">
                  <c:v>0.00122379296625986</c:v>
                </c:pt>
                <c:pt idx="12">
                  <c:v>0.000884016480696973</c:v>
                </c:pt>
                <c:pt idx="13">
                  <c:v>0.000605644282497508</c:v>
                </c:pt>
                <c:pt idx="14">
                  <c:v>0.000384763671912196</c:v>
                </c:pt>
                <c:pt idx="15">
                  <c:v>0.000217532663254663</c:v>
                </c:pt>
                <c:pt idx="16">
                  <c:v>0.000100203875329468</c:v>
                </c:pt>
                <c:pt idx="17">
                  <c:v>2.91408234080489E-5</c:v>
                </c:pt>
                <c:pt idx="18">
                  <c:v>8.31819518227805E-7</c:v>
                </c:pt>
                <c:pt idx="19">
                  <c:v>1.19001484931701E-5</c:v>
                </c:pt>
                <c:pt idx="20">
                  <c:v>5.91107674444453E-5</c:v>
                </c:pt>
                <c:pt idx="21">
                  <c:v>0.000139376170912332</c:v>
                </c:pt>
                <c:pt idx="22">
                  <c:v>0.000249758626027802</c:v>
                </c:pt>
                <c:pt idx="23">
                  <c:v>0.000387471038694122</c:v>
                </c:pt>
                <c:pt idx="24">
                  <c:v>0.000549876426482621</c:v>
                </c:pt>
                <c:pt idx="25">
                  <c:v>0.000734486189353024</c:v>
                </c:pt>
                <c:pt idx="26">
                  <c:v>0.000938957401817792</c:v>
                </c:pt>
                <c:pt idx="27">
                  <c:v>0.00116108931996854</c:v>
                </c:pt>
                <c:pt idx="28">
                  <c:v>0.00139881927000756</c:v>
                </c:pt>
                <c:pt idx="29">
                  <c:v>0.00165021806126319</c:v>
                </c:pt>
                <c:pt idx="30">
                  <c:v>0.00191348504581848</c:v>
                </c:pt>
                <c:pt idx="31">
                  <c:v>0.00218694292856679</c:v>
                </c:pt>
                <c:pt idx="32">
                  <c:v>0.00246903241546243</c:v>
                </c:pt>
                <c:pt idx="33">
                  <c:v>0.00275830677372027</c:v>
                </c:pt>
                <c:pt idx="34">
                  <c:v>0.00305342636551008</c:v>
                </c:pt>
                <c:pt idx="35">
                  <c:v>0.00335315320608983</c:v>
                </c:pt>
                <c:pt idx="36">
                  <c:v>0.00365634558814108</c:v>
                </c:pt>
                <c:pt idx="37">
                  <c:v>0.00396195280614451</c:v>
                </c:pt>
                <c:pt idx="38">
                  <c:v>0.00426901000781481</c:v>
                </c:pt>
                <c:pt idx="39">
                  <c:v>0.00457663319376769</c:v>
                </c:pt>
                <c:pt idx="40">
                  <c:v>0.00488401438159772</c:v>
                </c:pt>
                <c:pt idx="41">
                  <c:v>0.00519041694629761</c:v>
                </c:pt>
              </c:numCache>
            </c:numRef>
          </c:yVal>
        </c:ser>
        <c:ser>
          <c:idx val="4"/>
          <c:order val="3"/>
          <c:tx>
            <c:strRef>
              <c:f>'Grism model 1.3-1.867'!$F$11</c:f>
              <c:strCache>
                <c:ptCount val="1"/>
                <c:pt idx="0">
                  <c:v>E0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1.3-1.867'!$F$12:$F$53</c:f>
              <c:numCache>
                <c:formatCode>0.000</c:formatCode>
                <c:ptCount val="42"/>
                <c:pt idx="0">
                  <c:v>0.0231673820922017</c:v>
                </c:pt>
                <c:pt idx="1">
                  <c:v>0.0211343457359374</c:v>
                </c:pt>
                <c:pt idx="2">
                  <c:v>0.0191237637122252</c:v>
                </c:pt>
                <c:pt idx="3">
                  <c:v>0.0171527031616422</c:v>
                </c:pt>
                <c:pt idx="4">
                  <c:v>0.015236757876988</c:v>
                </c:pt>
                <c:pt idx="5">
                  <c:v>0.0133902010798249</c:v>
                </c:pt>
                <c:pt idx="6">
                  <c:v>0.0116261375953658</c:v>
                </c:pt>
                <c:pt idx="7">
                  <c:v>0.00995625036615711</c:v>
                </c:pt>
                <c:pt idx="8">
                  <c:v>0.00838769335910608</c:v>
                </c:pt>
                <c:pt idx="9">
                  <c:v>0.00692881474202418</c:v>
                </c:pt>
                <c:pt idx="10">
                  <c:v>0.00557456617785547</c:v>
                </c:pt>
                <c:pt idx="11">
                  <c:v>0.00437470842810039</c:v>
                </c:pt>
                <c:pt idx="12">
                  <c:v>0.0033191671597558</c:v>
                </c:pt>
                <c:pt idx="13">
                  <c:v>0.00240295722345448</c:v>
                </c:pt>
                <c:pt idx="14">
                  <c:v>0.00163025808162205</c:v>
                </c:pt>
                <c:pt idx="15">
                  <c:v>0.00100441808237461</c:v>
                </c:pt>
                <c:pt idx="16">
                  <c:v>0.000528005580507844</c:v>
                </c:pt>
                <c:pt idx="17">
                  <c:v>0.000202872268874856</c:v>
                </c:pt>
                <c:pt idx="18">
                  <c:v>3.02079239369902E-5</c:v>
                </c:pt>
                <c:pt idx="19">
                  <c:v>1.05946045598977E-5</c:v>
                </c:pt>
                <c:pt idx="20">
                  <c:v>0.000144060745468749</c:v>
                </c:pt>
                <c:pt idx="21">
                  <c:v>0.000430127775807435</c:v>
                </c:pt>
                <c:pt idx="22">
                  <c:v>0.000867857537101775</c:v>
                </c:pt>
                <c:pt idx="23">
                  <c:v>0.00145589800895005</c:v>
                </c:pt>
                <c:pt idx="24">
                  <c:v>0.00219252559062511</c:v>
                </c:pt>
                <c:pt idx="25">
                  <c:v>0.00307568486268684</c:v>
                </c:pt>
                <c:pt idx="26">
                  <c:v>0.00410302585679644</c:v>
                </c:pt>
                <c:pt idx="27">
                  <c:v>0.00527193888230401</c:v>
                </c:pt>
                <c:pt idx="28">
                  <c:v>0.0065795869743239</c:v>
                </c:pt>
                <c:pt idx="29">
                  <c:v>0.00802293604052052</c:v>
                </c:pt>
                <c:pt idx="30">
                  <c:v>0.00959878279324032</c:v>
                </c:pt>
                <c:pt idx="31">
                  <c:v>0.0113037805604272</c:v>
                </c:pt>
                <c:pt idx="32">
                  <c:v>0.0131344630733436</c:v>
                </c:pt>
                <c:pt idx="33">
                  <c:v>0.0150872663318711</c:v>
                </c:pt>
                <c:pt idx="34">
                  <c:v>0.0171585486493828</c:v>
                </c:pt>
                <c:pt idx="35">
                  <c:v>0.0193446089791375</c:v>
                </c:pt>
                <c:pt idx="36">
                  <c:v>0.0216417036230953</c:v>
                </c:pt>
                <c:pt idx="37">
                  <c:v>0.0240460614221582</c:v>
                </c:pt>
                <c:pt idx="38">
                  <c:v>0.0265538975243275</c:v>
                </c:pt>
                <c:pt idx="39">
                  <c:v>0.0291614258242247</c:v>
                </c:pt>
                <c:pt idx="40">
                  <c:v>0.0318648701640272</c:v>
                </c:pt>
                <c:pt idx="41">
                  <c:v>0.034660474382182</c:v>
                </c:pt>
              </c:numCache>
            </c:numRef>
          </c:yVal>
        </c:ser>
        <c:ser>
          <c:idx val="5"/>
          <c:order val="4"/>
          <c:tx>
            <c:strRef>
              <c:f>'Grism model 1.3-1.867'!$G$11</c:f>
              <c:strCache>
                <c:ptCount val="1"/>
                <c:pt idx="0">
                  <c:v>E1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1.3-1.867'!$G$12:$G$53</c:f>
              <c:numCache>
                <c:formatCode>0.000</c:formatCode>
                <c:ptCount val="42"/>
                <c:pt idx="0">
                  <c:v>0.00707384443087137</c:v>
                </c:pt>
                <c:pt idx="1">
                  <c:v>0.00639971956401267</c:v>
                </c:pt>
                <c:pt idx="2">
                  <c:v>0.0057444113115496</c:v>
                </c:pt>
                <c:pt idx="3">
                  <c:v>0.00511245012572798</c:v>
                </c:pt>
                <c:pt idx="4">
                  <c:v>0.00450773254027792</c:v>
                </c:pt>
                <c:pt idx="5">
                  <c:v>0.00393362236539387</c:v>
                </c:pt>
                <c:pt idx="6">
                  <c:v>0.00339304268130156</c:v>
                </c:pt>
                <c:pt idx="7">
                  <c:v>0.00288837071278065</c:v>
                </c:pt>
                <c:pt idx="8">
                  <c:v>0.00242060297776216</c:v>
                </c:pt>
                <c:pt idx="9">
                  <c:v>0.00199102505963363</c:v>
                </c:pt>
                <c:pt idx="10">
                  <c:v>0.00159702889779686</c:v>
                </c:pt>
                <c:pt idx="11">
                  <c:v>0.00125165957737715</c:v>
                </c:pt>
                <c:pt idx="12">
                  <c:v>0.000950775546309947</c:v>
                </c:pt>
                <c:pt idx="13">
                  <c:v>0.000691723770629603</c:v>
                </c:pt>
                <c:pt idx="14">
                  <c:v>0.000474480664835081</c:v>
                </c:pt>
                <c:pt idx="15">
                  <c:v>0.000298798239291696</c:v>
                </c:pt>
                <c:pt idx="16">
                  <c:v>0.00016422612134905</c:v>
                </c:pt>
                <c:pt idx="17">
                  <c:v>7.01380357830754E-5</c:v>
                </c:pt>
                <c:pt idx="18">
                  <c:v>1.57535607797591E-5</c:v>
                </c:pt>
                <c:pt idx="19">
                  <c:v>1.58912816892348E-7</c:v>
                </c:pt>
                <c:pt idx="20">
                  <c:v>2.23268150979344E-5</c:v>
                </c:pt>
                <c:pt idx="21">
                  <c:v>8.11334245705326E-5</c:v>
                </c:pt>
                <c:pt idx="22">
                  <c:v>0.000175374118745477</c:v>
                </c:pt>
                <c:pt idx="23">
                  <c:v>0.000303778846681409</c:v>
                </c:pt>
                <c:pt idx="24">
                  <c:v>0.000465025593849359</c:v>
                </c:pt>
                <c:pt idx="25">
                  <c:v>0.000657752574591739</c:v>
                </c:pt>
                <c:pt idx="26">
                  <c:v>0.000880569226280014</c:v>
                </c:pt>
                <c:pt idx="27">
                  <c:v>0.00113206608019379</c:v>
                </c:pt>
                <c:pt idx="28">
                  <c:v>0.00141082358390941</c:v>
                </c:pt>
                <c:pt idx="29">
                  <c:v>0.00171541994883395</c:v>
                </c:pt>
                <c:pt idx="30">
                  <c:v>0.00204443809465487</c:v>
                </c:pt>
                <c:pt idx="31">
                  <c:v>0.00239647176006792</c:v>
                </c:pt>
                <c:pt idx="32">
                  <c:v>0.00277013084633449</c:v>
                </c:pt>
                <c:pt idx="33">
                  <c:v>0.00316404605712791</c:v>
                </c:pt>
                <c:pt idx="34">
                  <c:v>0.00357687289485083</c:v>
                </c:pt>
                <c:pt idx="35">
                  <c:v>0.00400729507022157</c:v>
                </c:pt>
                <c:pt idx="36">
                  <c:v>0.00445402737850684</c:v>
                </c:pt>
                <c:pt idx="37">
                  <c:v>0.00491581809236344</c:v>
                </c:pt>
                <c:pt idx="38">
                  <c:v>0.00539145091789574</c:v>
                </c:pt>
                <c:pt idx="39">
                  <c:v>0.00587974655725871</c:v>
                </c:pt>
                <c:pt idx="40">
                  <c:v>0.00637956391797202</c:v>
                </c:pt>
                <c:pt idx="41">
                  <c:v>0.00688980100606899</c:v>
                </c:pt>
              </c:numCache>
            </c:numRef>
          </c:yVal>
        </c:ser>
        <c:ser>
          <c:idx val="6"/>
          <c:order val="5"/>
          <c:tx>
            <c:strRef>
              <c:f>'Grism model 1.3-1.867'!$H$11</c:f>
              <c:strCache>
                <c:ptCount val="1"/>
                <c:pt idx="0">
                  <c:v>E2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'Grism model 1.3-1.867'!$A$12:$A$53</c:f>
              <c:numCache>
                <c:formatCode>0.000</c:formatCode>
                <c:ptCount val="42"/>
                <c:pt idx="0">
                  <c:v>1.35</c:v>
                </c:pt>
                <c:pt idx="1">
                  <c:v>1.365</c:v>
                </c:pt>
                <c:pt idx="2">
                  <c:v>1.38</c:v>
                </c:pt>
                <c:pt idx="3">
                  <c:v>1.395</c:v>
                </c:pt>
                <c:pt idx="4">
                  <c:v>1.41</c:v>
                </c:pt>
                <c:pt idx="5">
                  <c:v>1.425</c:v>
                </c:pt>
                <c:pt idx="6">
                  <c:v>1.439999999999999</c:v>
                </c:pt>
                <c:pt idx="7">
                  <c:v>1.454999999999999</c:v>
                </c:pt>
                <c:pt idx="8">
                  <c:v>1.469999999999999</c:v>
                </c:pt>
                <c:pt idx="9">
                  <c:v>1.484999999999999</c:v>
                </c:pt>
                <c:pt idx="10">
                  <c:v>1.499999999999999</c:v>
                </c:pt>
                <c:pt idx="11">
                  <c:v>1.514999999999999</c:v>
                </c:pt>
                <c:pt idx="12">
                  <c:v>1.529999999999999</c:v>
                </c:pt>
                <c:pt idx="13">
                  <c:v>1.544999999999999</c:v>
                </c:pt>
                <c:pt idx="14">
                  <c:v>1.559999999999999</c:v>
                </c:pt>
                <c:pt idx="15">
                  <c:v>1.574999999999999</c:v>
                </c:pt>
                <c:pt idx="16">
                  <c:v>1.589999999999999</c:v>
                </c:pt>
                <c:pt idx="17">
                  <c:v>1.604999999999998</c:v>
                </c:pt>
                <c:pt idx="18">
                  <c:v>1.619999999999998</c:v>
                </c:pt>
                <c:pt idx="19">
                  <c:v>1.634999999999998</c:v>
                </c:pt>
                <c:pt idx="20">
                  <c:v>1.649999999999998</c:v>
                </c:pt>
                <c:pt idx="21">
                  <c:v>1.664999999999998</c:v>
                </c:pt>
                <c:pt idx="22">
                  <c:v>1.679999999999998</c:v>
                </c:pt>
                <c:pt idx="23">
                  <c:v>1.694999999999998</c:v>
                </c:pt>
                <c:pt idx="24">
                  <c:v>1.709999999999998</c:v>
                </c:pt>
                <c:pt idx="25">
                  <c:v>1.724999999999998</c:v>
                </c:pt>
                <c:pt idx="26">
                  <c:v>1.739999999999997</c:v>
                </c:pt>
                <c:pt idx="27">
                  <c:v>1.754999999999997</c:v>
                </c:pt>
                <c:pt idx="28">
                  <c:v>1.769999999999997</c:v>
                </c:pt>
                <c:pt idx="29">
                  <c:v>1.784999999999997</c:v>
                </c:pt>
                <c:pt idx="30">
                  <c:v>1.799999999999997</c:v>
                </c:pt>
                <c:pt idx="31">
                  <c:v>1.814999999999997</c:v>
                </c:pt>
                <c:pt idx="32">
                  <c:v>1.829999999999997</c:v>
                </c:pt>
                <c:pt idx="33">
                  <c:v>1.844999999999997</c:v>
                </c:pt>
                <c:pt idx="34">
                  <c:v>1.859999999999997</c:v>
                </c:pt>
                <c:pt idx="35">
                  <c:v>1.874999999999997</c:v>
                </c:pt>
                <c:pt idx="36">
                  <c:v>1.889999999999997</c:v>
                </c:pt>
                <c:pt idx="37">
                  <c:v>1.904999999999996</c:v>
                </c:pt>
                <c:pt idx="38">
                  <c:v>1.919999999999996</c:v>
                </c:pt>
                <c:pt idx="39">
                  <c:v>1.934999999999996</c:v>
                </c:pt>
                <c:pt idx="40">
                  <c:v>1.949999999999996</c:v>
                </c:pt>
                <c:pt idx="41">
                  <c:v>1.964999999999996</c:v>
                </c:pt>
              </c:numCache>
            </c:numRef>
          </c:xVal>
          <c:yVal>
            <c:numRef>
              <c:f>'Grism model 1.3-1.867'!$H$12:$H$53</c:f>
              <c:numCache>
                <c:formatCode>0.000</c:formatCode>
                <c:ptCount val="42"/>
                <c:pt idx="0">
                  <c:v>0.00343168101861602</c:v>
                </c:pt>
                <c:pt idx="1">
                  <c:v>0.00309992360633288</c:v>
                </c:pt>
                <c:pt idx="2">
                  <c:v>0.00277903753440652</c:v>
                </c:pt>
                <c:pt idx="3">
                  <c:v>0.00247102731908365</c:v>
                </c:pt>
                <c:pt idx="4">
                  <c:v>0.00217756320459419</c:v>
                </c:pt>
                <c:pt idx="5">
                  <c:v>0.00190004819343444</c:v>
                </c:pt>
                <c:pt idx="6">
                  <c:v>0.00163967735549344</c:v>
                </c:pt>
                <c:pt idx="7">
                  <c:v>0.00139736732064878</c:v>
                </c:pt>
                <c:pt idx="8">
                  <c:v>0.00117337228390371</c:v>
                </c:pt>
                <c:pt idx="9">
                  <c:v>0.000968085123239991</c:v>
                </c:pt>
                <c:pt idx="10">
                  <c:v>0.000779998559422407</c:v>
                </c:pt>
                <c:pt idx="11">
                  <c:v>0.000615255814773318</c:v>
                </c:pt>
                <c:pt idx="12">
                  <c:v>0.000471662730126001</c:v>
                </c:pt>
                <c:pt idx="13">
                  <c:v>0.000347734591805614</c:v>
                </c:pt>
                <c:pt idx="14">
                  <c:v>0.000243284187358929</c:v>
                </c:pt>
                <c:pt idx="15">
                  <c:v>0.00015802847008639</c:v>
                </c:pt>
                <c:pt idx="16">
                  <c:v>9.15990328425484E-5</c:v>
                </c:pt>
                <c:pt idx="17">
                  <c:v>4.35556124995237E-5</c:v>
                </c:pt>
                <c:pt idx="18">
                  <c:v>1.33965833402556E-5</c:v>
                </c:pt>
                <c:pt idx="19">
                  <c:v>5.68942130852208E-7</c:v>
                </c:pt>
                <c:pt idx="20">
                  <c:v>4.47767913706566E-6</c:v>
                </c:pt>
                <c:pt idx="21">
                  <c:v>2.44939533912321E-5</c:v>
                </c:pt>
                <c:pt idx="22">
                  <c:v>5.99619053252745E-5</c:v>
                </c:pt>
                <c:pt idx="23">
                  <c:v>0.000110205830231373</c:v>
                </c:pt>
                <c:pt idx="24">
                  <c:v>0.000174536185386312</c:v>
                </c:pt>
                <c:pt idx="25">
                  <c:v>0.000252254940787313</c:v>
                </c:pt>
                <c:pt idx="26">
                  <c:v>0.000342660320789559</c:v>
                </c:pt>
                <c:pt idx="27">
                  <c:v>0.000445050982885819</c:v>
                </c:pt>
                <c:pt idx="28">
                  <c:v>0.000558729678389051</c:v>
                </c:pt>
                <c:pt idx="29">
                  <c:v>0.00068300643798267</c:v>
                </c:pt>
                <c:pt idx="30">
                  <c:v>0.00081720132308197</c:v>
                </c:pt>
                <c:pt idx="31">
                  <c:v>0.00096064678178208</c:v>
                </c:pt>
                <c:pt idx="32">
                  <c:v>0.00111268964591277</c:v>
                </c:pt>
                <c:pt idx="33">
                  <c:v>0.00127269280343023</c:v>
                </c:pt>
                <c:pt idx="34">
                  <c:v>0.0014400365780884</c:v>
                </c:pt>
                <c:pt idx="35">
                  <c:v>0.00161411984608073</c:v>
                </c:pt>
                <c:pt idx="36">
                  <c:v>0.00179436091714907</c:v>
                </c:pt>
                <c:pt idx="37">
                  <c:v>0.00198019820553934</c:v>
                </c:pt>
                <c:pt idx="38">
                  <c:v>0.00217109071415617</c:v>
                </c:pt>
                <c:pt idx="39">
                  <c:v>0.00236651835333907</c:v>
                </c:pt>
                <c:pt idx="40">
                  <c:v>0.00256598211385838</c:v>
                </c:pt>
                <c:pt idx="41">
                  <c:v>0.00276900411200981</c:v>
                </c:pt>
              </c:numCache>
            </c:numRef>
          </c:yVal>
        </c:ser>
        <c:ser>
          <c:idx val="12"/>
          <c:order val="12"/>
          <c:tx>
            <c:v>Prism</c:v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'AR sim'!$A$78:$A$102</c:f>
              <c:numCache>
                <c:formatCode>General</c:formatCode>
                <c:ptCount val="25"/>
                <c:pt idx="0">
                  <c:v>1.089655172413793</c:v>
                </c:pt>
                <c:pt idx="1">
                  <c:v>1.127586206896552</c:v>
                </c:pt>
                <c:pt idx="2">
                  <c:v>1.16551724137931</c:v>
                </c:pt>
                <c:pt idx="3">
                  <c:v>1.203448275862069</c:v>
                </c:pt>
                <c:pt idx="4">
                  <c:v>1.241379310344827</c:v>
                </c:pt>
                <c:pt idx="5">
                  <c:v>1.279310344827586</c:v>
                </c:pt>
                <c:pt idx="6">
                  <c:v>1.317241379310345</c:v>
                </c:pt>
                <c:pt idx="7">
                  <c:v>1.355172413793103</c:v>
                </c:pt>
                <c:pt idx="8">
                  <c:v>1.393103448275862</c:v>
                </c:pt>
                <c:pt idx="9">
                  <c:v>1.43103448275862</c:v>
                </c:pt>
                <c:pt idx="10">
                  <c:v>1.468965517241379</c:v>
                </c:pt>
                <c:pt idx="11">
                  <c:v>1.506896551724137</c:v>
                </c:pt>
                <c:pt idx="12">
                  <c:v>1.544827586206896</c:v>
                </c:pt>
                <c:pt idx="13">
                  <c:v>1.582758620689655</c:v>
                </c:pt>
                <c:pt idx="14">
                  <c:v>1.620689655172413</c:v>
                </c:pt>
                <c:pt idx="15">
                  <c:v>1.658620689655172</c:v>
                </c:pt>
                <c:pt idx="16">
                  <c:v>1.69655172413793</c:v>
                </c:pt>
                <c:pt idx="17">
                  <c:v>1.734482758620689</c:v>
                </c:pt>
                <c:pt idx="18">
                  <c:v>1.772413793103448</c:v>
                </c:pt>
                <c:pt idx="19">
                  <c:v>1.810344827586206</c:v>
                </c:pt>
                <c:pt idx="20">
                  <c:v>1.848275862068965</c:v>
                </c:pt>
                <c:pt idx="21">
                  <c:v>1.886206896551723</c:v>
                </c:pt>
                <c:pt idx="22">
                  <c:v>1.924137931034482</c:v>
                </c:pt>
                <c:pt idx="23">
                  <c:v>1.96206896551724</c:v>
                </c:pt>
                <c:pt idx="24">
                  <c:v>2.0</c:v>
                </c:pt>
              </c:numCache>
            </c:numRef>
          </c:xVal>
          <c:yVal>
            <c:numRef>
              <c:f>'AR sim'!$D$78:$D$102</c:f>
              <c:numCache>
                <c:formatCode>General</c:formatCode>
                <c:ptCount val="25"/>
                <c:pt idx="0">
                  <c:v>0.978656984736344</c:v>
                </c:pt>
                <c:pt idx="1">
                  <c:v>0.979984178298809</c:v>
                </c:pt>
                <c:pt idx="2">
                  <c:v>0.981312271180143</c:v>
                </c:pt>
                <c:pt idx="3">
                  <c:v>0.982641263380345</c:v>
                </c:pt>
                <c:pt idx="4">
                  <c:v>0.983971154899415</c:v>
                </c:pt>
                <c:pt idx="5">
                  <c:v>0.981312271180143</c:v>
                </c:pt>
                <c:pt idx="6">
                  <c:v>0.978656984736344</c:v>
                </c:pt>
                <c:pt idx="7">
                  <c:v>0.976005295568019</c:v>
                </c:pt>
                <c:pt idx="8">
                  <c:v>0.973357203675168</c:v>
                </c:pt>
                <c:pt idx="9">
                  <c:v>0.970712709057791</c:v>
                </c:pt>
                <c:pt idx="10">
                  <c:v>0.968071811715887</c:v>
                </c:pt>
                <c:pt idx="11">
                  <c:v>0.970712709057791</c:v>
                </c:pt>
                <c:pt idx="12">
                  <c:v>0.973357203675168</c:v>
                </c:pt>
                <c:pt idx="13">
                  <c:v>0.976005295568019</c:v>
                </c:pt>
                <c:pt idx="14">
                  <c:v>0.978656984736344</c:v>
                </c:pt>
                <c:pt idx="15">
                  <c:v>0.981312271180143</c:v>
                </c:pt>
                <c:pt idx="16">
                  <c:v>0.983971154899415</c:v>
                </c:pt>
                <c:pt idx="17">
                  <c:v>0.982641263380345</c:v>
                </c:pt>
                <c:pt idx="18">
                  <c:v>0.981312271180143</c:v>
                </c:pt>
                <c:pt idx="19">
                  <c:v>0.979984178298809</c:v>
                </c:pt>
                <c:pt idx="20">
                  <c:v>0.978656984736344</c:v>
                </c:pt>
                <c:pt idx="21">
                  <c:v>0.970712709057791</c:v>
                </c:pt>
                <c:pt idx="22">
                  <c:v>0.962800808858502</c:v>
                </c:pt>
                <c:pt idx="23">
                  <c:v>0.954921284138477</c:v>
                </c:pt>
                <c:pt idx="24">
                  <c:v>0.954921284138477</c:v>
                </c:pt>
              </c:numCache>
            </c:numRef>
          </c:yVal>
        </c:ser>
        <c:dLbls/>
        <c:axId val="593286984"/>
        <c:axId val="593295112"/>
      </c:scatterChart>
      <c:valAx>
        <c:axId val="593286984"/>
        <c:scaling>
          <c:orientation val="minMax"/>
          <c:max val="2.0"/>
          <c:min val="1.1"/>
        </c:scaling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30196671792671"/>
              <c:y val="0.9157932753365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295112"/>
        <c:crosses val="autoZero"/>
        <c:crossBetween val="midCat"/>
      </c:valAx>
      <c:valAx>
        <c:axId val="593295112"/>
        <c:scaling>
          <c:orientation val="minMax"/>
          <c:max val="1.0"/>
          <c:min val="0.0"/>
        </c:scaling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Absolute Efficiency</a:t>
                </a:r>
              </a:p>
            </c:rich>
          </c:tx>
          <c:layout>
            <c:manualLayout>
              <c:xMode val="edge"/>
              <c:yMode val="edge"/>
              <c:x val="0.00517063342784221"/>
              <c:y val="0.23737432275470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286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828913034122"/>
          <c:y val="0.436419968673272"/>
          <c:w val="0.52182156566244"/>
          <c:h val="0.2208380958428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Analytic predictions 1-1.7</a:t>
            </a:r>
          </a:p>
        </c:rich>
      </c:tx>
      <c:layout>
        <c:manualLayout>
          <c:xMode val="edge"/>
          <c:yMode val="edge"/>
          <c:x val="0.356775253041026"/>
          <c:y val="0.00263786736995815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734229946753585"/>
          <c:y val="0.141414490151741"/>
          <c:w val="0.902792596501238"/>
          <c:h val="0.689395639489727"/>
        </c:manualLayout>
      </c:layout>
      <c:scatterChart>
        <c:scatterStyle val="lineMarker"/>
        <c:ser>
          <c:idx val="0"/>
          <c:order val="6"/>
          <c:tx>
            <c:strRef>
              <c:f>'Grism model 1.85-2.4'!$C$11</c:f>
              <c:strCache>
                <c:ptCount val="1"/>
                <c:pt idx="0">
                  <c:v>E-1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1.85-2.4'!$C$12:$C$53</c:f>
              <c:numCache>
                <c:formatCode>0.000</c:formatCode>
                <c:ptCount val="42"/>
                <c:pt idx="0">
                  <c:v>0.585262786215106</c:v>
                </c:pt>
                <c:pt idx="1">
                  <c:v>0.60820767899876</c:v>
                </c:pt>
                <c:pt idx="2">
                  <c:v>0.60820767899876</c:v>
                </c:pt>
                <c:pt idx="3">
                  <c:v>0.629774104279911</c:v>
                </c:pt>
                <c:pt idx="4">
                  <c:v>0.649952469391811</c:v>
                </c:pt>
                <c:pt idx="5">
                  <c:v>0.668745034231872</c:v>
                </c:pt>
                <c:pt idx="6">
                  <c:v>0.686163163994043</c:v>
                </c:pt>
                <c:pt idx="7">
                  <c:v>0.702227497000442</c:v>
                </c:pt>
                <c:pt idx="8">
                  <c:v>0.716678177418647</c:v>
                </c:pt>
                <c:pt idx="9">
                  <c:v>0.729246953435599</c:v>
                </c:pt>
                <c:pt idx="10">
                  <c:v>0.737795653317562</c:v>
                </c:pt>
                <c:pt idx="11">
                  <c:v>0.747348402093233</c:v>
                </c:pt>
                <c:pt idx="12">
                  <c:v>0.757071245075788</c:v>
                </c:pt>
                <c:pt idx="13">
                  <c:v>0.765679327526266</c:v>
                </c:pt>
                <c:pt idx="14">
                  <c:v>0.773219871490866</c:v>
                </c:pt>
                <c:pt idx="15">
                  <c:v>0.779740897785945</c:v>
                </c:pt>
                <c:pt idx="16">
                  <c:v>0.785290790150775</c:v>
                </c:pt>
                <c:pt idx="17">
                  <c:v>0.789917858544478</c:v>
                </c:pt>
                <c:pt idx="18">
                  <c:v>0.79367000495759</c:v>
                </c:pt>
                <c:pt idx="19">
                  <c:v>0.796594439161404</c:v>
                </c:pt>
                <c:pt idx="20">
                  <c:v>0.798737454462305</c:v>
                </c:pt>
                <c:pt idx="21">
                  <c:v>0.800144202797639</c:v>
                </c:pt>
                <c:pt idx="22">
                  <c:v>0.800858588215347</c:v>
                </c:pt>
                <c:pt idx="23">
                  <c:v>0.800923132653301</c:v>
                </c:pt>
                <c:pt idx="24">
                  <c:v>0.800378888459815</c:v>
                </c:pt>
                <c:pt idx="25">
                  <c:v>0.799265376017855</c:v>
                </c:pt>
                <c:pt idx="26">
                  <c:v>0.797620542849904</c:v>
                </c:pt>
                <c:pt idx="27">
                  <c:v>0.795480740987447</c:v>
                </c:pt>
                <c:pt idx="28">
                  <c:v>0.79288071976871</c:v>
                </c:pt>
                <c:pt idx="29">
                  <c:v>0.789853631568326</c:v>
                </c:pt>
                <c:pt idx="30">
                  <c:v>0.786431048271196</c:v>
                </c:pt>
                <c:pt idx="31">
                  <c:v>0.782642986580059</c:v>
                </c:pt>
                <c:pt idx="32">
                  <c:v>0.778517940494245</c:v>
                </c:pt>
                <c:pt idx="33">
                  <c:v>0.7740829195184</c:v>
                </c:pt>
                <c:pt idx="34">
                  <c:v>0.769363491356553</c:v>
                </c:pt>
                <c:pt idx="35">
                  <c:v>0.764383828020989</c:v>
                </c:pt>
                <c:pt idx="36">
                  <c:v>0.759166754439303</c:v>
                </c:pt>
                <c:pt idx="37">
                  <c:v>0.75373379877833</c:v>
                </c:pt>
                <c:pt idx="38">
                  <c:v>0.748105243822644</c:v>
                </c:pt>
                <c:pt idx="39">
                  <c:v>0.74230017884939</c:v>
                </c:pt>
                <c:pt idx="40">
                  <c:v>0.736336551532215</c:v>
                </c:pt>
                <c:pt idx="41">
                  <c:v>0.73023121948618</c:v>
                </c:pt>
              </c:numCache>
            </c:numRef>
          </c:yVal>
        </c:ser>
        <c:ser>
          <c:idx val="7"/>
          <c:order val="7"/>
          <c:tx>
            <c:strRef>
              <c:f>'Grism model 1.85-2.4'!$D$11</c:f>
              <c:strCache>
                <c:ptCount val="1"/>
                <c:pt idx="0">
                  <c:v>E-2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1.85-2.4'!$D$12:$D$53</c:f>
              <c:numCache>
                <c:formatCode>0.000</c:formatCode>
                <c:ptCount val="42"/>
                <c:pt idx="0">
                  <c:v>0.114309940789731</c:v>
                </c:pt>
                <c:pt idx="1">
                  <c:v>0.0995753637144495</c:v>
                </c:pt>
                <c:pt idx="2">
                  <c:v>0.0995753637144495</c:v>
                </c:pt>
                <c:pt idx="3">
                  <c:v>0.0862863271674256</c:v>
                </c:pt>
                <c:pt idx="4">
                  <c:v>0.0743471356089182</c:v>
                </c:pt>
                <c:pt idx="5">
                  <c:v>0.0636632375832452</c:v>
                </c:pt>
                <c:pt idx="6">
                  <c:v>0.0541425856144794</c:v>
                </c:pt>
                <c:pt idx="7">
                  <c:v>0.0456959910069498</c:v>
                </c:pt>
                <c:pt idx="8">
                  <c:v>0.0382227394624976</c:v>
                </c:pt>
                <c:pt idx="9">
                  <c:v>0.0316369934247754</c:v>
                </c:pt>
                <c:pt idx="10">
                  <c:v>0.0257992039154439</c:v>
                </c:pt>
                <c:pt idx="11">
                  <c:v>0.0208311806312256</c:v>
                </c:pt>
                <c:pt idx="12">
                  <c:v>0.0165938104731528</c:v>
                </c:pt>
                <c:pt idx="13">
                  <c:v>0.0129775611462074</c:v>
                </c:pt>
                <c:pt idx="14">
                  <c:v>0.00992379677045773</c:v>
                </c:pt>
                <c:pt idx="15">
                  <c:v>0.00737811305150884</c:v>
                </c:pt>
                <c:pt idx="16">
                  <c:v>0.00529016953508935</c:v>
                </c:pt>
                <c:pt idx="17">
                  <c:v>0.00361351126573708</c:v>
                </c:pt>
                <c:pt idx="18">
                  <c:v>0.00230537064394785</c:v>
                </c:pt>
                <c:pt idx="19">
                  <c:v>0.00132646241799092</c:v>
                </c:pt>
                <c:pt idx="20">
                  <c:v>0.000640774598773333</c:v>
                </c:pt>
                <c:pt idx="21">
                  <c:v>0.000215363958210293</c:v>
                </c:pt>
                <c:pt idx="22">
                  <c:v>2.01473364686067E-5</c:v>
                </c:pt>
                <c:pt idx="23">
                  <c:v>2.77045940579761E-5</c:v>
                </c:pt>
                <c:pt idx="24">
                  <c:v>0.000213086797793073</c:v>
                </c:pt>
                <c:pt idx="25">
                  <c:v>0.00055363262445056</c:v>
                </c:pt>
                <c:pt idx="26">
                  <c:v>0.0010287937243114</c:v>
                </c:pt>
                <c:pt idx="27">
                  <c:v>0.00161996948626082</c:v>
                </c:pt>
                <c:pt idx="28">
                  <c:v>0.00231035140852814</c:v>
                </c:pt>
                <c:pt idx="29">
                  <c:v>0.00308477709352661</c:v>
                </c:pt>
                <c:pt idx="30">
                  <c:v>0.00392959374235247</c:v>
                </c:pt>
                <c:pt idx="31">
                  <c:v>0.00483253091655028</c:v>
                </c:pt>
                <c:pt idx="32">
                  <c:v>0.0057825822552483</c:v>
                </c:pt>
                <c:pt idx="33">
                  <c:v>0.0067698957792605</c:v>
                </c:pt>
                <c:pt idx="34">
                  <c:v>0.00778567237575083</c:v>
                </c:pt>
                <c:pt idx="35">
                  <c:v>0.00882207203378167</c:v>
                </c:pt>
                <c:pt idx="36">
                  <c:v>0.00987212738944851</c:v>
                </c:pt>
                <c:pt idx="37">
                  <c:v>0.0109296641367821</c:v>
                </c:pt>
                <c:pt idx="38">
                  <c:v>0.0119892278650837</c:v>
                </c:pt>
                <c:pt idx="39">
                  <c:v>0.0130460168931566</c:v>
                </c:pt>
                <c:pt idx="40">
                  <c:v>0.0140958206846059</c:v>
                </c:pt>
                <c:pt idx="41">
                  <c:v>0.0151349634449029</c:v>
                </c:pt>
              </c:numCache>
            </c:numRef>
          </c:yVal>
        </c:ser>
        <c:ser>
          <c:idx val="8"/>
          <c:order val="8"/>
          <c:tx>
            <c:strRef>
              <c:f>'Grism model 1.85-2.4'!$E$11</c:f>
              <c:strCache>
                <c:ptCount val="1"/>
                <c:pt idx="0">
                  <c:v>E-3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1.85-2.4'!$E$12:$E$53</c:f>
              <c:numCache>
                <c:formatCode>0.000</c:formatCode>
                <c:ptCount val="42"/>
                <c:pt idx="0">
                  <c:v>0.0190310335171228</c:v>
                </c:pt>
                <c:pt idx="1">
                  <c:v>0.0170826670749617</c:v>
                </c:pt>
                <c:pt idx="2">
                  <c:v>0.0170826670749617</c:v>
                </c:pt>
                <c:pt idx="3">
                  <c:v>0.0152238038680227</c:v>
                </c:pt>
                <c:pt idx="4">
                  <c:v>0.0134662677488341</c:v>
                </c:pt>
                <c:pt idx="5">
                  <c:v>0.0118184571952435</c:v>
                </c:pt>
                <c:pt idx="6">
                  <c:v>0.0102858406037267</c:v>
                </c:pt>
                <c:pt idx="7">
                  <c:v>0.00887142171339231</c:v>
                </c:pt>
                <c:pt idx="8">
                  <c:v>0.00757311110934475</c:v>
                </c:pt>
                <c:pt idx="9">
                  <c:v>0.00638907757774497</c:v>
                </c:pt>
                <c:pt idx="10">
                  <c:v>0.00530413634353394</c:v>
                </c:pt>
                <c:pt idx="11">
                  <c:v>0.00435486857115588</c:v>
                </c:pt>
                <c:pt idx="12">
                  <c:v>0.00352329181970096</c:v>
                </c:pt>
                <c:pt idx="13">
                  <c:v>0.00279519191245332</c:v>
                </c:pt>
                <c:pt idx="14">
                  <c:v>0.00216546495136308</c:v>
                </c:pt>
                <c:pt idx="15">
                  <c:v>0.00162869830988359</c:v>
                </c:pt>
                <c:pt idx="16">
                  <c:v>0.00117929507707473</c:v>
                </c:pt>
                <c:pt idx="17">
                  <c:v>0.000811575487287204</c:v>
                </c:pt>
                <c:pt idx="18">
                  <c:v>0.000519860517017847</c:v>
                </c:pt>
                <c:pt idx="19">
                  <c:v>0.000298539210493839</c:v>
                </c:pt>
                <c:pt idx="20">
                  <c:v>0.000142122448581905</c:v>
                </c:pt>
                <c:pt idx="21">
                  <c:v>4.52835101742565E-5</c:v>
                </c:pt>
                <c:pt idx="22">
                  <c:v>2.89103940451463E-6</c:v>
                </c:pt>
                <c:pt idx="23">
                  <c:v>1.0031730464852E-5</c:v>
                </c:pt>
                <c:pt idx="24">
                  <c:v>6.20264528975556E-5</c:v>
                </c:pt>
                <c:pt idx="25">
                  <c:v>0.000154440508144321</c:v>
                </c:pt>
                <c:pt idx="26">
                  <c:v>0.000283089053590107</c:v>
                </c:pt>
                <c:pt idx="27">
                  <c:v>0.000444038585487008</c:v>
                </c:pt>
                <c:pt idx="28">
                  <c:v>0.000633605243772019</c:v>
                </c:pt>
                <c:pt idx="29">
                  <c:v>0.000848350588710925</c:v>
                </c:pt>
                <c:pt idx="30">
                  <c:v>0.00108507540022156</c:v>
                </c:pt>
                <c:pt idx="31">
                  <c:v>0.0013408119643417</c:v>
                </c:pt>
                <c:pt idx="32">
                  <c:v>0.00161281523632419</c:v>
                </c:pt>
                <c:pt idx="33">
                  <c:v>0.00189855320502878</c:v>
                </c:pt>
                <c:pt idx="34">
                  <c:v>0.00219569672748755</c:v>
                </c:pt>
                <c:pt idx="35">
                  <c:v>0.00250210905467624</c:v>
                </c:pt>
                <c:pt idx="36">
                  <c:v>0.00281583522865533</c:v>
                </c:pt>
                <c:pt idx="37">
                  <c:v>0.00313509149647073</c:v>
                </c:pt>
                <c:pt idx="38">
                  <c:v>0.00345825485673212</c:v>
                </c:pt>
                <c:pt idx="39">
                  <c:v>0.00378385282991333</c:v>
                </c:pt>
                <c:pt idx="40">
                  <c:v>0.00411055352251693</c:v>
                </c:pt>
                <c:pt idx="41">
                  <c:v>0.00443715603776622</c:v>
                </c:pt>
              </c:numCache>
            </c:numRef>
          </c:yVal>
        </c:ser>
        <c:ser>
          <c:idx val="9"/>
          <c:order val="9"/>
          <c:tx>
            <c:strRef>
              <c:f>'Grism model 1.85-2.4'!$F$11</c:f>
              <c:strCache>
                <c:ptCount val="1"/>
                <c:pt idx="0">
                  <c:v>E0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1.85-2.4'!$F$12:$F$53</c:f>
              <c:numCache>
                <c:formatCode>0.000</c:formatCode>
                <c:ptCount val="42"/>
                <c:pt idx="0">
                  <c:v>0.0326049965431398</c:v>
                </c:pt>
                <c:pt idx="1">
                  <c:v>0.0308489813182402</c:v>
                </c:pt>
                <c:pt idx="2">
                  <c:v>0.0308489813182402</c:v>
                </c:pt>
                <c:pt idx="3">
                  <c:v>0.0289474801553575</c:v>
                </c:pt>
                <c:pt idx="4">
                  <c:v>0.0269350385561018</c:v>
                </c:pt>
                <c:pt idx="5">
                  <c:v>0.0248448197028978</c:v>
                </c:pt>
                <c:pt idx="6">
                  <c:v>0.022708476595386</c:v>
                </c:pt>
                <c:pt idx="7">
                  <c:v>0.0205556275313386</c:v>
                </c:pt>
                <c:pt idx="8">
                  <c:v>0.018406540574532</c:v>
                </c:pt>
                <c:pt idx="9">
                  <c:v>0.0162828622823874</c:v>
                </c:pt>
                <c:pt idx="10">
                  <c:v>0.0141713980575192</c:v>
                </c:pt>
                <c:pt idx="11">
                  <c:v>0.0121979114068835</c:v>
                </c:pt>
                <c:pt idx="12">
                  <c:v>0.0103491248371661</c:v>
                </c:pt>
                <c:pt idx="13">
                  <c:v>0.00861614310389026</c:v>
                </c:pt>
                <c:pt idx="14">
                  <c:v>0.00701361150229255</c:v>
                </c:pt>
                <c:pt idx="15">
                  <c:v>0.00555424664147656</c:v>
                </c:pt>
                <c:pt idx="16">
                  <c:v>0.0042489222457943</c:v>
                </c:pt>
                <c:pt idx="17">
                  <c:v>0.00310678796810454</c:v>
                </c:pt>
                <c:pt idx="18">
                  <c:v>0.00213537982800495</c:v>
                </c:pt>
                <c:pt idx="19">
                  <c:v>0.00134073516648927</c:v>
                </c:pt>
                <c:pt idx="20">
                  <c:v>0.000727502834833538</c:v>
                </c:pt>
                <c:pt idx="21">
                  <c:v>0.000299074119518681</c:v>
                </c:pt>
                <c:pt idx="22">
                  <c:v>5.76724375062363E-5</c:v>
                </c:pt>
                <c:pt idx="23">
                  <c:v>4.46784300774223E-6</c:v>
                </c:pt>
                <c:pt idx="24">
                  <c:v>0.000139679107221533</c:v>
                </c:pt>
                <c:pt idx="25">
                  <c:v>0.00046267075142754</c:v>
                </c:pt>
                <c:pt idx="26">
                  <c:v>0.000972044704064062</c:v>
                </c:pt>
                <c:pt idx="27">
                  <c:v>0.00166572639397892</c:v>
                </c:pt>
                <c:pt idx="28">
                  <c:v>0.00254104520682764</c:v>
                </c:pt>
                <c:pt idx="29">
                  <c:v>0.00359480932348054</c:v>
                </c:pt>
                <c:pt idx="30">
                  <c:v>0.00482337503174302</c:v>
                </c:pt>
                <c:pt idx="31">
                  <c:v>0.00622271065872536</c:v>
                </c:pt>
                <c:pt idx="32">
                  <c:v>0.00778845531348184</c:v>
                </c:pt>
                <c:pt idx="33">
                  <c:v>0.00951597266035054</c:v>
                </c:pt>
                <c:pt idx="34">
                  <c:v>0.0114003999647906</c:v>
                </c:pt>
                <c:pt idx="35">
                  <c:v>0.0134366926671018</c:v>
                </c:pt>
                <c:pt idx="36">
                  <c:v>0.0156196647467023</c:v>
                </c:pt>
                <c:pt idx="37">
                  <c:v>0.0179440251418673</c:v>
                </c:pt>
                <c:pt idx="38">
                  <c:v>0.0204044104880363</c:v>
                </c:pt>
                <c:pt idx="39">
                  <c:v>0.0229954144328655</c:v>
                </c:pt>
                <c:pt idx="40">
                  <c:v>0.0257116137788595</c:v>
                </c:pt>
                <c:pt idx="41">
                  <c:v>0.0285475916952982</c:v>
                </c:pt>
              </c:numCache>
            </c:numRef>
          </c:yVal>
        </c:ser>
        <c:ser>
          <c:idx val="10"/>
          <c:order val="10"/>
          <c:tx>
            <c:strRef>
              <c:f>'Grism model 1.85-2.4'!$G$11</c:f>
              <c:strCache>
                <c:ptCount val="1"/>
                <c:pt idx="0">
                  <c:v>E1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1.85-2.4'!$G$12:$G$53</c:f>
              <c:numCache>
                <c:formatCode>0.000</c:formatCode>
                <c:ptCount val="42"/>
                <c:pt idx="0">
                  <c:v>0.0105674312756009</c:v>
                </c:pt>
                <c:pt idx="1">
                  <c:v>0.00988871862606841</c:v>
                </c:pt>
                <c:pt idx="2">
                  <c:v>0.00988871862606841</c:v>
                </c:pt>
                <c:pt idx="3">
                  <c:v>0.00917893285428124</c:v>
                </c:pt>
                <c:pt idx="4">
                  <c:v>0.00844999620018941</c:v>
                </c:pt>
                <c:pt idx="5">
                  <c:v>0.00771285916383406</c:v>
                </c:pt>
                <c:pt idx="6">
                  <c:v>0.00697754028734337</c:v>
                </c:pt>
                <c:pt idx="7">
                  <c:v>0.00625296799806636</c:v>
                </c:pt>
                <c:pt idx="8">
                  <c:v>0.00554486716064575</c:v>
                </c:pt>
                <c:pt idx="9">
                  <c:v>0.00485910325922514</c:v>
                </c:pt>
                <c:pt idx="10">
                  <c:v>0.0041909665499887</c:v>
                </c:pt>
                <c:pt idx="11">
                  <c:v>0.00357658848125644</c:v>
                </c:pt>
                <c:pt idx="12">
                  <c:v>0.00301040089984789</c:v>
                </c:pt>
                <c:pt idx="13">
                  <c:v>0.00248825602629276</c:v>
                </c:pt>
                <c:pt idx="14">
                  <c:v>0.00201284255871548</c:v>
                </c:pt>
                <c:pt idx="15">
                  <c:v>0.00158618936821624</c:v>
                </c:pt>
                <c:pt idx="16">
                  <c:v>0.00120972124482729</c:v>
                </c:pt>
                <c:pt idx="17">
                  <c:v>0.000884323705766643</c:v>
                </c:pt>
                <c:pt idx="18">
                  <c:v>0.000610400260639118</c:v>
                </c:pt>
                <c:pt idx="19">
                  <c:v>0.00038792794039539</c:v>
                </c:pt>
                <c:pt idx="20">
                  <c:v>0.000216507771189867</c:v>
                </c:pt>
                <c:pt idx="21">
                  <c:v>9.54206728629354E-5</c:v>
                </c:pt>
                <c:pt idx="22">
                  <c:v>2.36647096736914E-5</c:v>
                </c:pt>
                <c:pt idx="23">
                  <c:v>7.54673291262718E-11</c:v>
                </c:pt>
                <c:pt idx="24">
                  <c:v>2.29874209810379E-5</c:v>
                </c:pt>
                <c:pt idx="25">
                  <c:v>9.1022732859683E-5</c:v>
                </c:pt>
                <c:pt idx="26">
                  <c:v>0.000202368892012022</c:v>
                </c:pt>
                <c:pt idx="27">
                  <c:v>0.000355184067626783</c:v>
                </c:pt>
                <c:pt idx="28">
                  <c:v>0.000547547122560705</c:v>
                </c:pt>
                <c:pt idx="29">
                  <c:v>0.000777480217713385</c:v>
                </c:pt>
                <c:pt idx="30">
                  <c:v>0.00104296880894279</c:v>
                </c:pt>
                <c:pt idx="31">
                  <c:v>0.00134197923132937</c:v>
                </c:pt>
                <c:pt idx="32">
                  <c:v>0.00167247406323729</c:v>
                </c:pt>
                <c:pt idx="33">
                  <c:v>0.0020324254575228</c:v>
                </c:pt>
                <c:pt idx="34">
                  <c:v>0.00241982662013806</c:v>
                </c:pt>
                <c:pt idx="35">
                  <c:v>0.00283270160785407</c:v>
                </c:pt>
                <c:pt idx="36">
                  <c:v>0.00326911360735999</c:v>
                </c:pt>
                <c:pt idx="37">
                  <c:v>0.00372717184797074</c:v>
                </c:pt>
                <c:pt idx="38">
                  <c:v>0.00420503728988577</c:v>
                </c:pt>
                <c:pt idx="39">
                  <c:v>0.00470092721963002</c:v>
                </c:pt>
                <c:pt idx="40">
                  <c:v>0.00521311887414697</c:v>
                </c:pt>
                <c:pt idx="41">
                  <c:v>0.00573995220514521</c:v>
                </c:pt>
              </c:numCache>
            </c:numRef>
          </c:yVal>
        </c:ser>
        <c:ser>
          <c:idx val="11"/>
          <c:order val="11"/>
          <c:tx>
            <c:strRef>
              <c:f>'Grism model 1.85-2.4'!$H$11</c:f>
              <c:strCache>
                <c:ptCount val="1"/>
                <c:pt idx="0">
                  <c:v>E2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1.85-2.4'!$H$12:$H$53</c:f>
              <c:numCache>
                <c:formatCode>0.000</c:formatCode>
                <c:ptCount val="42"/>
                <c:pt idx="0">
                  <c:v>0.00519829214877688</c:v>
                </c:pt>
                <c:pt idx="1">
                  <c:v>0.00484798494368417</c:v>
                </c:pt>
                <c:pt idx="2">
                  <c:v>0.00484798494368417</c:v>
                </c:pt>
                <c:pt idx="3">
                  <c:v>0.0044855361942083</c:v>
                </c:pt>
                <c:pt idx="4">
                  <c:v>0.00411678424862232</c:v>
                </c:pt>
                <c:pt idx="5">
                  <c:v>0.00374699964599245</c:v>
                </c:pt>
                <c:pt idx="6">
                  <c:v>0.00338093157833337</c:v>
                </c:pt>
                <c:pt idx="7">
                  <c:v>0.0030227247098218</c:v>
                </c:pt>
                <c:pt idx="8">
                  <c:v>0.00267492813795745</c:v>
                </c:pt>
                <c:pt idx="9">
                  <c:v>0.00234012149880902</c:v>
                </c:pt>
                <c:pt idx="10">
                  <c:v>0.00201576483298161</c:v>
                </c:pt>
                <c:pt idx="11">
                  <c:v>0.0017189352683034</c:v>
                </c:pt>
                <c:pt idx="12">
                  <c:v>0.00144662100936384</c:v>
                </c:pt>
                <c:pt idx="13">
                  <c:v>0.00119650601542893</c:v>
                </c:pt>
                <c:pt idx="14">
                  <c:v>0.00096956265121475</c:v>
                </c:pt>
                <c:pt idx="15">
                  <c:v>0.000766451591534411</c:v>
                </c:pt>
                <c:pt idx="16">
                  <c:v>0.000587552303790928</c:v>
                </c:pt>
                <c:pt idx="17">
                  <c:v>0.000432998392609621</c:v>
                </c:pt>
                <c:pt idx="18">
                  <c:v>0.000302707832858199</c:v>
                </c:pt>
                <c:pt idx="19">
                  <c:v>0.00019641180795511</c:v>
                </c:pt>
                <c:pt idx="20">
                  <c:v>0.000113680220370826</c:v>
                </c:pt>
                <c:pt idx="21">
                  <c:v>5.39505559330789E-5</c:v>
                </c:pt>
                <c:pt idx="22">
                  <c:v>1.65452107161364E-5</c:v>
                </c:pt>
                <c:pt idx="23">
                  <c:v>6.93702991481157E-7</c:v>
                </c:pt>
                <c:pt idx="24">
                  <c:v>5.55094131523307E-6</c:v>
                </c:pt>
                <c:pt idx="25">
                  <c:v>3.02135715953562E-5</c:v>
                </c:pt>
                <c:pt idx="26">
                  <c:v>7.37345155281508E-5</c:v>
                </c:pt>
                <c:pt idx="27">
                  <c:v>0.000135135820572981</c:v>
                </c:pt>
                <c:pt idx="28">
                  <c:v>0.000213419945291689</c:v>
                </c:pt>
                <c:pt idx="29">
                  <c:v>0.00030757960433909</c:v>
                </c:pt>
                <c:pt idx="30">
                  <c:v>0.000416606295417556</c:v>
                </c:pt>
                <c:pt idx="31">
                  <c:v>0.000539497626727425</c:v>
                </c:pt>
                <c:pt idx="32">
                  <c:v>0.000675263558366325</c:v>
                </c:pt>
                <c:pt idx="33">
                  <c:v>0.000822931665161754</c:v>
                </c:pt>
                <c:pt idx="34">
                  <c:v>0.000981551521892664</c:v>
                </c:pt>
                <c:pt idx="35">
                  <c:v>0.00115019830502215</c:v>
                </c:pt>
                <c:pt idx="36">
                  <c:v>0.00132797569812638</c:v>
                </c:pt>
                <c:pt idx="37">
                  <c:v>0.00151401818131808</c:v>
                </c:pt>
                <c:pt idx="38">
                  <c:v>0.00170749277823998</c:v>
                </c:pt>
                <c:pt idx="39">
                  <c:v>0.00190760032772884</c:v>
                </c:pt>
                <c:pt idx="40">
                  <c:v>0.00211357634108269</c:v>
                </c:pt>
                <c:pt idx="41">
                  <c:v>0.00232469150004008</c:v>
                </c:pt>
              </c:numCache>
            </c:numRef>
          </c:yVal>
        </c:ser>
        <c:ser>
          <c:idx val="1"/>
          <c:order val="0"/>
          <c:tx>
            <c:strRef>
              <c:f>'Grism model 1.85-2.4'!$C$11</c:f>
              <c:strCache>
                <c:ptCount val="1"/>
                <c:pt idx="0">
                  <c:v>E-1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1.85-2.4'!$C$12:$C$53</c:f>
              <c:numCache>
                <c:formatCode>0.000</c:formatCode>
                <c:ptCount val="42"/>
                <c:pt idx="0">
                  <c:v>0.585262786215106</c:v>
                </c:pt>
                <c:pt idx="1">
                  <c:v>0.60820767899876</c:v>
                </c:pt>
                <c:pt idx="2">
                  <c:v>0.60820767899876</c:v>
                </c:pt>
                <c:pt idx="3">
                  <c:v>0.629774104279911</c:v>
                </c:pt>
                <c:pt idx="4">
                  <c:v>0.649952469391811</c:v>
                </c:pt>
                <c:pt idx="5">
                  <c:v>0.668745034231872</c:v>
                </c:pt>
                <c:pt idx="6">
                  <c:v>0.686163163994043</c:v>
                </c:pt>
                <c:pt idx="7">
                  <c:v>0.702227497000442</c:v>
                </c:pt>
                <c:pt idx="8">
                  <c:v>0.716678177418647</c:v>
                </c:pt>
                <c:pt idx="9">
                  <c:v>0.729246953435599</c:v>
                </c:pt>
                <c:pt idx="10">
                  <c:v>0.737795653317562</c:v>
                </c:pt>
                <c:pt idx="11">
                  <c:v>0.747348402093233</c:v>
                </c:pt>
                <c:pt idx="12">
                  <c:v>0.757071245075788</c:v>
                </c:pt>
                <c:pt idx="13">
                  <c:v>0.765679327526266</c:v>
                </c:pt>
                <c:pt idx="14">
                  <c:v>0.773219871490866</c:v>
                </c:pt>
                <c:pt idx="15">
                  <c:v>0.779740897785945</c:v>
                </c:pt>
                <c:pt idx="16">
                  <c:v>0.785290790150775</c:v>
                </c:pt>
                <c:pt idx="17">
                  <c:v>0.789917858544478</c:v>
                </c:pt>
                <c:pt idx="18">
                  <c:v>0.79367000495759</c:v>
                </c:pt>
                <c:pt idx="19">
                  <c:v>0.796594439161404</c:v>
                </c:pt>
                <c:pt idx="20">
                  <c:v>0.798737454462305</c:v>
                </c:pt>
                <c:pt idx="21">
                  <c:v>0.800144202797639</c:v>
                </c:pt>
                <c:pt idx="22">
                  <c:v>0.800858588215347</c:v>
                </c:pt>
                <c:pt idx="23">
                  <c:v>0.800923132653301</c:v>
                </c:pt>
                <c:pt idx="24">
                  <c:v>0.800378888459815</c:v>
                </c:pt>
                <c:pt idx="25">
                  <c:v>0.799265376017855</c:v>
                </c:pt>
                <c:pt idx="26">
                  <c:v>0.797620542849904</c:v>
                </c:pt>
                <c:pt idx="27">
                  <c:v>0.795480740987447</c:v>
                </c:pt>
                <c:pt idx="28">
                  <c:v>0.79288071976871</c:v>
                </c:pt>
                <c:pt idx="29">
                  <c:v>0.789853631568326</c:v>
                </c:pt>
                <c:pt idx="30">
                  <c:v>0.786431048271196</c:v>
                </c:pt>
                <c:pt idx="31">
                  <c:v>0.782642986580059</c:v>
                </c:pt>
                <c:pt idx="32">
                  <c:v>0.778517940494245</c:v>
                </c:pt>
                <c:pt idx="33">
                  <c:v>0.7740829195184</c:v>
                </c:pt>
                <c:pt idx="34">
                  <c:v>0.769363491356553</c:v>
                </c:pt>
                <c:pt idx="35">
                  <c:v>0.764383828020989</c:v>
                </c:pt>
                <c:pt idx="36">
                  <c:v>0.759166754439303</c:v>
                </c:pt>
                <c:pt idx="37">
                  <c:v>0.75373379877833</c:v>
                </c:pt>
                <c:pt idx="38">
                  <c:v>0.748105243822644</c:v>
                </c:pt>
                <c:pt idx="39">
                  <c:v>0.74230017884939</c:v>
                </c:pt>
                <c:pt idx="40">
                  <c:v>0.736336551532215</c:v>
                </c:pt>
                <c:pt idx="41">
                  <c:v>0.73023121948618</c:v>
                </c:pt>
              </c:numCache>
            </c:numRef>
          </c:yVal>
        </c:ser>
        <c:ser>
          <c:idx val="2"/>
          <c:order val="1"/>
          <c:tx>
            <c:strRef>
              <c:f>'Grism model 1.85-2.4'!$D$11</c:f>
              <c:strCache>
                <c:ptCount val="1"/>
                <c:pt idx="0">
                  <c:v>E-2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1.85-2.4'!$D$12:$D$53</c:f>
              <c:numCache>
                <c:formatCode>0.000</c:formatCode>
                <c:ptCount val="42"/>
                <c:pt idx="0">
                  <c:v>0.114309940789731</c:v>
                </c:pt>
                <c:pt idx="1">
                  <c:v>0.0995753637144495</c:v>
                </c:pt>
                <c:pt idx="2">
                  <c:v>0.0995753637144495</c:v>
                </c:pt>
                <c:pt idx="3">
                  <c:v>0.0862863271674256</c:v>
                </c:pt>
                <c:pt idx="4">
                  <c:v>0.0743471356089182</c:v>
                </c:pt>
                <c:pt idx="5">
                  <c:v>0.0636632375832452</c:v>
                </c:pt>
                <c:pt idx="6">
                  <c:v>0.0541425856144794</c:v>
                </c:pt>
                <c:pt idx="7">
                  <c:v>0.0456959910069498</c:v>
                </c:pt>
                <c:pt idx="8">
                  <c:v>0.0382227394624976</c:v>
                </c:pt>
                <c:pt idx="9">
                  <c:v>0.0316369934247754</c:v>
                </c:pt>
                <c:pt idx="10">
                  <c:v>0.0257992039154439</c:v>
                </c:pt>
                <c:pt idx="11">
                  <c:v>0.0208311806312256</c:v>
                </c:pt>
                <c:pt idx="12">
                  <c:v>0.0165938104731528</c:v>
                </c:pt>
                <c:pt idx="13">
                  <c:v>0.0129775611462074</c:v>
                </c:pt>
                <c:pt idx="14">
                  <c:v>0.00992379677045773</c:v>
                </c:pt>
                <c:pt idx="15">
                  <c:v>0.00737811305150884</c:v>
                </c:pt>
                <c:pt idx="16">
                  <c:v>0.00529016953508935</c:v>
                </c:pt>
                <c:pt idx="17">
                  <c:v>0.00361351126573708</c:v>
                </c:pt>
                <c:pt idx="18">
                  <c:v>0.00230537064394785</c:v>
                </c:pt>
                <c:pt idx="19">
                  <c:v>0.00132646241799092</c:v>
                </c:pt>
                <c:pt idx="20">
                  <c:v>0.000640774598773333</c:v>
                </c:pt>
                <c:pt idx="21">
                  <c:v>0.000215363958210293</c:v>
                </c:pt>
                <c:pt idx="22">
                  <c:v>2.01473364686067E-5</c:v>
                </c:pt>
                <c:pt idx="23">
                  <c:v>2.77045940579761E-5</c:v>
                </c:pt>
                <c:pt idx="24">
                  <c:v>0.000213086797793073</c:v>
                </c:pt>
                <c:pt idx="25">
                  <c:v>0.00055363262445056</c:v>
                </c:pt>
                <c:pt idx="26">
                  <c:v>0.0010287937243114</c:v>
                </c:pt>
                <c:pt idx="27">
                  <c:v>0.00161996948626082</c:v>
                </c:pt>
                <c:pt idx="28">
                  <c:v>0.00231035140852814</c:v>
                </c:pt>
                <c:pt idx="29">
                  <c:v>0.00308477709352661</c:v>
                </c:pt>
                <c:pt idx="30">
                  <c:v>0.00392959374235247</c:v>
                </c:pt>
                <c:pt idx="31">
                  <c:v>0.00483253091655028</c:v>
                </c:pt>
                <c:pt idx="32">
                  <c:v>0.0057825822552483</c:v>
                </c:pt>
                <c:pt idx="33">
                  <c:v>0.0067698957792605</c:v>
                </c:pt>
                <c:pt idx="34">
                  <c:v>0.00778567237575083</c:v>
                </c:pt>
                <c:pt idx="35">
                  <c:v>0.00882207203378167</c:v>
                </c:pt>
                <c:pt idx="36">
                  <c:v>0.00987212738944851</c:v>
                </c:pt>
                <c:pt idx="37">
                  <c:v>0.0109296641367821</c:v>
                </c:pt>
                <c:pt idx="38">
                  <c:v>0.0119892278650837</c:v>
                </c:pt>
                <c:pt idx="39">
                  <c:v>0.0130460168931566</c:v>
                </c:pt>
                <c:pt idx="40">
                  <c:v>0.0140958206846059</c:v>
                </c:pt>
                <c:pt idx="41">
                  <c:v>0.0151349634449029</c:v>
                </c:pt>
              </c:numCache>
            </c:numRef>
          </c:yVal>
        </c:ser>
        <c:ser>
          <c:idx val="3"/>
          <c:order val="2"/>
          <c:tx>
            <c:strRef>
              <c:f>'Grism model 1.85-2.4'!$E$11</c:f>
              <c:strCache>
                <c:ptCount val="1"/>
                <c:pt idx="0">
                  <c:v>E-3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1.85-2.4'!$E$12:$E$53</c:f>
              <c:numCache>
                <c:formatCode>0.000</c:formatCode>
                <c:ptCount val="42"/>
                <c:pt idx="0">
                  <c:v>0.0190310335171228</c:v>
                </c:pt>
                <c:pt idx="1">
                  <c:v>0.0170826670749617</c:v>
                </c:pt>
                <c:pt idx="2">
                  <c:v>0.0170826670749617</c:v>
                </c:pt>
                <c:pt idx="3">
                  <c:v>0.0152238038680227</c:v>
                </c:pt>
                <c:pt idx="4">
                  <c:v>0.0134662677488341</c:v>
                </c:pt>
                <c:pt idx="5">
                  <c:v>0.0118184571952435</c:v>
                </c:pt>
                <c:pt idx="6">
                  <c:v>0.0102858406037267</c:v>
                </c:pt>
                <c:pt idx="7">
                  <c:v>0.00887142171339231</c:v>
                </c:pt>
                <c:pt idx="8">
                  <c:v>0.00757311110934475</c:v>
                </c:pt>
                <c:pt idx="9">
                  <c:v>0.00638907757774497</c:v>
                </c:pt>
                <c:pt idx="10">
                  <c:v>0.00530413634353394</c:v>
                </c:pt>
                <c:pt idx="11">
                  <c:v>0.00435486857115588</c:v>
                </c:pt>
                <c:pt idx="12">
                  <c:v>0.00352329181970096</c:v>
                </c:pt>
                <c:pt idx="13">
                  <c:v>0.00279519191245332</c:v>
                </c:pt>
                <c:pt idx="14">
                  <c:v>0.00216546495136308</c:v>
                </c:pt>
                <c:pt idx="15">
                  <c:v>0.00162869830988359</c:v>
                </c:pt>
                <c:pt idx="16">
                  <c:v>0.00117929507707473</c:v>
                </c:pt>
                <c:pt idx="17">
                  <c:v>0.000811575487287204</c:v>
                </c:pt>
                <c:pt idx="18">
                  <c:v>0.000519860517017847</c:v>
                </c:pt>
                <c:pt idx="19">
                  <c:v>0.000298539210493839</c:v>
                </c:pt>
                <c:pt idx="20">
                  <c:v>0.000142122448581905</c:v>
                </c:pt>
                <c:pt idx="21">
                  <c:v>4.52835101742565E-5</c:v>
                </c:pt>
                <c:pt idx="22">
                  <c:v>2.89103940451463E-6</c:v>
                </c:pt>
                <c:pt idx="23">
                  <c:v>1.0031730464852E-5</c:v>
                </c:pt>
                <c:pt idx="24">
                  <c:v>6.20264528975556E-5</c:v>
                </c:pt>
                <c:pt idx="25">
                  <c:v>0.000154440508144321</c:v>
                </c:pt>
                <c:pt idx="26">
                  <c:v>0.000283089053590107</c:v>
                </c:pt>
                <c:pt idx="27">
                  <c:v>0.000444038585487008</c:v>
                </c:pt>
                <c:pt idx="28">
                  <c:v>0.000633605243772019</c:v>
                </c:pt>
                <c:pt idx="29">
                  <c:v>0.000848350588710925</c:v>
                </c:pt>
                <c:pt idx="30">
                  <c:v>0.00108507540022156</c:v>
                </c:pt>
                <c:pt idx="31">
                  <c:v>0.0013408119643417</c:v>
                </c:pt>
                <c:pt idx="32">
                  <c:v>0.00161281523632419</c:v>
                </c:pt>
                <c:pt idx="33">
                  <c:v>0.00189855320502878</c:v>
                </c:pt>
                <c:pt idx="34">
                  <c:v>0.00219569672748755</c:v>
                </c:pt>
                <c:pt idx="35">
                  <c:v>0.00250210905467624</c:v>
                </c:pt>
                <c:pt idx="36">
                  <c:v>0.00281583522865533</c:v>
                </c:pt>
                <c:pt idx="37">
                  <c:v>0.00313509149647073</c:v>
                </c:pt>
                <c:pt idx="38">
                  <c:v>0.00345825485673212</c:v>
                </c:pt>
                <c:pt idx="39">
                  <c:v>0.00378385282991333</c:v>
                </c:pt>
                <c:pt idx="40">
                  <c:v>0.00411055352251693</c:v>
                </c:pt>
                <c:pt idx="41">
                  <c:v>0.00443715603776622</c:v>
                </c:pt>
              </c:numCache>
            </c:numRef>
          </c:yVal>
        </c:ser>
        <c:ser>
          <c:idx val="4"/>
          <c:order val="3"/>
          <c:tx>
            <c:strRef>
              <c:f>'Grism model 1.85-2.4'!$F$11</c:f>
              <c:strCache>
                <c:ptCount val="1"/>
                <c:pt idx="0">
                  <c:v>E0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1.85-2.4'!$F$12:$F$53</c:f>
              <c:numCache>
                <c:formatCode>0.000</c:formatCode>
                <c:ptCount val="42"/>
                <c:pt idx="0">
                  <c:v>0.0326049965431398</c:v>
                </c:pt>
                <c:pt idx="1">
                  <c:v>0.0308489813182402</c:v>
                </c:pt>
                <c:pt idx="2">
                  <c:v>0.0308489813182402</c:v>
                </c:pt>
                <c:pt idx="3">
                  <c:v>0.0289474801553575</c:v>
                </c:pt>
                <c:pt idx="4">
                  <c:v>0.0269350385561018</c:v>
                </c:pt>
                <c:pt idx="5">
                  <c:v>0.0248448197028978</c:v>
                </c:pt>
                <c:pt idx="6">
                  <c:v>0.022708476595386</c:v>
                </c:pt>
                <c:pt idx="7">
                  <c:v>0.0205556275313386</c:v>
                </c:pt>
                <c:pt idx="8">
                  <c:v>0.018406540574532</c:v>
                </c:pt>
                <c:pt idx="9">
                  <c:v>0.0162828622823874</c:v>
                </c:pt>
                <c:pt idx="10">
                  <c:v>0.0141713980575192</c:v>
                </c:pt>
                <c:pt idx="11">
                  <c:v>0.0121979114068835</c:v>
                </c:pt>
                <c:pt idx="12">
                  <c:v>0.0103491248371661</c:v>
                </c:pt>
                <c:pt idx="13">
                  <c:v>0.00861614310389026</c:v>
                </c:pt>
                <c:pt idx="14">
                  <c:v>0.00701361150229255</c:v>
                </c:pt>
                <c:pt idx="15">
                  <c:v>0.00555424664147656</c:v>
                </c:pt>
                <c:pt idx="16">
                  <c:v>0.0042489222457943</c:v>
                </c:pt>
                <c:pt idx="17">
                  <c:v>0.00310678796810454</c:v>
                </c:pt>
                <c:pt idx="18">
                  <c:v>0.00213537982800495</c:v>
                </c:pt>
                <c:pt idx="19">
                  <c:v>0.00134073516648927</c:v>
                </c:pt>
                <c:pt idx="20">
                  <c:v>0.000727502834833538</c:v>
                </c:pt>
                <c:pt idx="21">
                  <c:v>0.000299074119518681</c:v>
                </c:pt>
                <c:pt idx="22">
                  <c:v>5.76724375062363E-5</c:v>
                </c:pt>
                <c:pt idx="23">
                  <c:v>4.46784300774223E-6</c:v>
                </c:pt>
                <c:pt idx="24">
                  <c:v>0.000139679107221533</c:v>
                </c:pt>
                <c:pt idx="25">
                  <c:v>0.00046267075142754</c:v>
                </c:pt>
                <c:pt idx="26">
                  <c:v>0.000972044704064062</c:v>
                </c:pt>
                <c:pt idx="27">
                  <c:v>0.00166572639397892</c:v>
                </c:pt>
                <c:pt idx="28">
                  <c:v>0.00254104520682764</c:v>
                </c:pt>
                <c:pt idx="29">
                  <c:v>0.00359480932348054</c:v>
                </c:pt>
                <c:pt idx="30">
                  <c:v>0.00482337503174302</c:v>
                </c:pt>
                <c:pt idx="31">
                  <c:v>0.00622271065872536</c:v>
                </c:pt>
                <c:pt idx="32">
                  <c:v>0.00778845531348184</c:v>
                </c:pt>
                <c:pt idx="33">
                  <c:v>0.00951597266035054</c:v>
                </c:pt>
                <c:pt idx="34">
                  <c:v>0.0114003999647906</c:v>
                </c:pt>
                <c:pt idx="35">
                  <c:v>0.0134366926671018</c:v>
                </c:pt>
                <c:pt idx="36">
                  <c:v>0.0156196647467023</c:v>
                </c:pt>
                <c:pt idx="37">
                  <c:v>0.0179440251418673</c:v>
                </c:pt>
                <c:pt idx="38">
                  <c:v>0.0204044104880363</c:v>
                </c:pt>
                <c:pt idx="39">
                  <c:v>0.0229954144328655</c:v>
                </c:pt>
                <c:pt idx="40">
                  <c:v>0.0257116137788595</c:v>
                </c:pt>
                <c:pt idx="41">
                  <c:v>0.0285475916952982</c:v>
                </c:pt>
              </c:numCache>
            </c:numRef>
          </c:yVal>
        </c:ser>
        <c:ser>
          <c:idx val="5"/>
          <c:order val="4"/>
          <c:tx>
            <c:strRef>
              <c:f>'Grism model 1.85-2.4'!$G$11</c:f>
              <c:strCache>
                <c:ptCount val="1"/>
                <c:pt idx="0">
                  <c:v>E1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1.85-2.4'!$G$12:$G$53</c:f>
              <c:numCache>
                <c:formatCode>0.000</c:formatCode>
                <c:ptCount val="42"/>
                <c:pt idx="0">
                  <c:v>0.0105674312756009</c:v>
                </c:pt>
                <c:pt idx="1">
                  <c:v>0.00988871862606841</c:v>
                </c:pt>
                <c:pt idx="2">
                  <c:v>0.00988871862606841</c:v>
                </c:pt>
                <c:pt idx="3">
                  <c:v>0.00917893285428124</c:v>
                </c:pt>
                <c:pt idx="4">
                  <c:v>0.00844999620018941</c:v>
                </c:pt>
                <c:pt idx="5">
                  <c:v>0.00771285916383406</c:v>
                </c:pt>
                <c:pt idx="6">
                  <c:v>0.00697754028734337</c:v>
                </c:pt>
                <c:pt idx="7">
                  <c:v>0.00625296799806636</c:v>
                </c:pt>
                <c:pt idx="8">
                  <c:v>0.00554486716064575</c:v>
                </c:pt>
                <c:pt idx="9">
                  <c:v>0.00485910325922514</c:v>
                </c:pt>
                <c:pt idx="10">
                  <c:v>0.0041909665499887</c:v>
                </c:pt>
                <c:pt idx="11">
                  <c:v>0.00357658848125644</c:v>
                </c:pt>
                <c:pt idx="12">
                  <c:v>0.00301040089984789</c:v>
                </c:pt>
                <c:pt idx="13">
                  <c:v>0.00248825602629276</c:v>
                </c:pt>
                <c:pt idx="14">
                  <c:v>0.00201284255871548</c:v>
                </c:pt>
                <c:pt idx="15">
                  <c:v>0.00158618936821624</c:v>
                </c:pt>
                <c:pt idx="16">
                  <c:v>0.00120972124482729</c:v>
                </c:pt>
                <c:pt idx="17">
                  <c:v>0.000884323705766643</c:v>
                </c:pt>
                <c:pt idx="18">
                  <c:v>0.000610400260639118</c:v>
                </c:pt>
                <c:pt idx="19">
                  <c:v>0.00038792794039539</c:v>
                </c:pt>
                <c:pt idx="20">
                  <c:v>0.000216507771189867</c:v>
                </c:pt>
                <c:pt idx="21">
                  <c:v>9.54206728629354E-5</c:v>
                </c:pt>
                <c:pt idx="22">
                  <c:v>2.36647096736914E-5</c:v>
                </c:pt>
                <c:pt idx="23">
                  <c:v>7.54673291262718E-11</c:v>
                </c:pt>
                <c:pt idx="24">
                  <c:v>2.29874209810379E-5</c:v>
                </c:pt>
                <c:pt idx="25">
                  <c:v>9.1022732859683E-5</c:v>
                </c:pt>
                <c:pt idx="26">
                  <c:v>0.000202368892012022</c:v>
                </c:pt>
                <c:pt idx="27">
                  <c:v>0.000355184067626783</c:v>
                </c:pt>
                <c:pt idx="28">
                  <c:v>0.000547547122560705</c:v>
                </c:pt>
                <c:pt idx="29">
                  <c:v>0.000777480217713385</c:v>
                </c:pt>
                <c:pt idx="30">
                  <c:v>0.00104296880894279</c:v>
                </c:pt>
                <c:pt idx="31">
                  <c:v>0.00134197923132937</c:v>
                </c:pt>
                <c:pt idx="32">
                  <c:v>0.00167247406323729</c:v>
                </c:pt>
                <c:pt idx="33">
                  <c:v>0.0020324254575228</c:v>
                </c:pt>
                <c:pt idx="34">
                  <c:v>0.00241982662013806</c:v>
                </c:pt>
                <c:pt idx="35">
                  <c:v>0.00283270160785407</c:v>
                </c:pt>
                <c:pt idx="36">
                  <c:v>0.00326911360735999</c:v>
                </c:pt>
                <c:pt idx="37">
                  <c:v>0.00372717184797074</c:v>
                </c:pt>
                <c:pt idx="38">
                  <c:v>0.00420503728988577</c:v>
                </c:pt>
                <c:pt idx="39">
                  <c:v>0.00470092721963002</c:v>
                </c:pt>
                <c:pt idx="40">
                  <c:v>0.00521311887414697</c:v>
                </c:pt>
                <c:pt idx="41">
                  <c:v>0.00573995220514521</c:v>
                </c:pt>
              </c:numCache>
            </c:numRef>
          </c:yVal>
        </c:ser>
        <c:ser>
          <c:idx val="6"/>
          <c:order val="5"/>
          <c:tx>
            <c:strRef>
              <c:f>'Grism model 1.85-2.4'!$H$11</c:f>
              <c:strCache>
                <c:ptCount val="1"/>
                <c:pt idx="0">
                  <c:v>E2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1.85-2.4'!$H$12:$H$53</c:f>
              <c:numCache>
                <c:formatCode>0.000</c:formatCode>
                <c:ptCount val="42"/>
                <c:pt idx="0">
                  <c:v>0.00519829214877688</c:v>
                </c:pt>
                <c:pt idx="1">
                  <c:v>0.00484798494368417</c:v>
                </c:pt>
                <c:pt idx="2">
                  <c:v>0.00484798494368417</c:v>
                </c:pt>
                <c:pt idx="3">
                  <c:v>0.0044855361942083</c:v>
                </c:pt>
                <c:pt idx="4">
                  <c:v>0.00411678424862232</c:v>
                </c:pt>
                <c:pt idx="5">
                  <c:v>0.00374699964599245</c:v>
                </c:pt>
                <c:pt idx="6">
                  <c:v>0.00338093157833337</c:v>
                </c:pt>
                <c:pt idx="7">
                  <c:v>0.0030227247098218</c:v>
                </c:pt>
                <c:pt idx="8">
                  <c:v>0.00267492813795745</c:v>
                </c:pt>
                <c:pt idx="9">
                  <c:v>0.00234012149880902</c:v>
                </c:pt>
                <c:pt idx="10">
                  <c:v>0.00201576483298161</c:v>
                </c:pt>
                <c:pt idx="11">
                  <c:v>0.0017189352683034</c:v>
                </c:pt>
                <c:pt idx="12">
                  <c:v>0.00144662100936384</c:v>
                </c:pt>
                <c:pt idx="13">
                  <c:v>0.00119650601542893</c:v>
                </c:pt>
                <c:pt idx="14">
                  <c:v>0.00096956265121475</c:v>
                </c:pt>
                <c:pt idx="15">
                  <c:v>0.000766451591534411</c:v>
                </c:pt>
                <c:pt idx="16">
                  <c:v>0.000587552303790928</c:v>
                </c:pt>
                <c:pt idx="17">
                  <c:v>0.000432998392609621</c:v>
                </c:pt>
                <c:pt idx="18">
                  <c:v>0.000302707832858199</c:v>
                </c:pt>
                <c:pt idx="19">
                  <c:v>0.00019641180795511</c:v>
                </c:pt>
                <c:pt idx="20">
                  <c:v>0.000113680220370826</c:v>
                </c:pt>
                <c:pt idx="21">
                  <c:v>5.39505559330789E-5</c:v>
                </c:pt>
                <c:pt idx="22">
                  <c:v>1.65452107161364E-5</c:v>
                </c:pt>
                <c:pt idx="23">
                  <c:v>6.93702991481157E-7</c:v>
                </c:pt>
                <c:pt idx="24">
                  <c:v>5.55094131523307E-6</c:v>
                </c:pt>
                <c:pt idx="25">
                  <c:v>3.02135715953562E-5</c:v>
                </c:pt>
                <c:pt idx="26">
                  <c:v>7.37345155281508E-5</c:v>
                </c:pt>
                <c:pt idx="27">
                  <c:v>0.000135135820572981</c:v>
                </c:pt>
                <c:pt idx="28">
                  <c:v>0.000213419945291689</c:v>
                </c:pt>
                <c:pt idx="29">
                  <c:v>0.00030757960433909</c:v>
                </c:pt>
                <c:pt idx="30">
                  <c:v>0.000416606295417556</c:v>
                </c:pt>
                <c:pt idx="31">
                  <c:v>0.000539497626727425</c:v>
                </c:pt>
                <c:pt idx="32">
                  <c:v>0.000675263558366325</c:v>
                </c:pt>
                <c:pt idx="33">
                  <c:v>0.000822931665161754</c:v>
                </c:pt>
                <c:pt idx="34">
                  <c:v>0.000981551521892664</c:v>
                </c:pt>
                <c:pt idx="35">
                  <c:v>0.00115019830502215</c:v>
                </c:pt>
                <c:pt idx="36">
                  <c:v>0.00132797569812638</c:v>
                </c:pt>
                <c:pt idx="37">
                  <c:v>0.00151401818131808</c:v>
                </c:pt>
                <c:pt idx="38">
                  <c:v>0.00170749277823998</c:v>
                </c:pt>
                <c:pt idx="39">
                  <c:v>0.00190760032772884</c:v>
                </c:pt>
                <c:pt idx="40">
                  <c:v>0.00211357634108269</c:v>
                </c:pt>
                <c:pt idx="41">
                  <c:v>0.00232469150004008</c:v>
                </c:pt>
              </c:numCache>
            </c:numRef>
          </c:yVal>
        </c:ser>
        <c:dLbls/>
        <c:axId val="593667144"/>
        <c:axId val="593675000"/>
      </c:scatterChart>
      <c:valAx>
        <c:axId val="593667144"/>
        <c:scaling>
          <c:orientation val="minMax"/>
          <c:min val="1.1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3019670119647"/>
              <c:y val="0.89899211596461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675000"/>
        <c:crosses val="autoZero"/>
        <c:crossBetween val="midCat"/>
      </c:valAx>
      <c:valAx>
        <c:axId val="593675000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Absolute Efficiency</a:t>
                </a:r>
              </a:p>
            </c:rich>
          </c:tx>
          <c:layout>
            <c:manualLayout>
              <c:xMode val="edge"/>
              <c:yMode val="edge"/>
              <c:x val="0.00517063342784221"/>
              <c:y val="0.23737432275470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667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5478325619908"/>
          <c:y val="0.472090173013374"/>
          <c:w val="0.291338949038258"/>
          <c:h val="0.1718661561511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Grism order vs. prism with AR coatings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0734229946753585"/>
          <c:y val="0.141414490151741"/>
          <c:w val="0.902792596501238"/>
          <c:h val="0.689395639489727"/>
        </c:manualLayout>
      </c:layout>
      <c:scatterChart>
        <c:scatterStyle val="lineMarker"/>
        <c:ser>
          <c:idx val="0"/>
          <c:order val="6"/>
          <c:tx>
            <c:strRef>
              <c:f>'Grism model 1.85-2.4'!$C$11</c:f>
              <c:strCache>
                <c:ptCount val="1"/>
                <c:pt idx="0">
                  <c:v>E-1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1.85-2.4'!$C$12:$C$53</c:f>
              <c:numCache>
                <c:formatCode>0.000</c:formatCode>
                <c:ptCount val="42"/>
                <c:pt idx="0">
                  <c:v>0.585262786215106</c:v>
                </c:pt>
                <c:pt idx="1">
                  <c:v>0.60820767899876</c:v>
                </c:pt>
                <c:pt idx="2">
                  <c:v>0.60820767899876</c:v>
                </c:pt>
                <c:pt idx="3">
                  <c:v>0.629774104279911</c:v>
                </c:pt>
                <c:pt idx="4">
                  <c:v>0.649952469391811</c:v>
                </c:pt>
                <c:pt idx="5">
                  <c:v>0.668745034231872</c:v>
                </c:pt>
                <c:pt idx="6">
                  <c:v>0.686163163994043</c:v>
                </c:pt>
                <c:pt idx="7">
                  <c:v>0.702227497000442</c:v>
                </c:pt>
                <c:pt idx="8">
                  <c:v>0.716678177418647</c:v>
                </c:pt>
                <c:pt idx="9">
                  <c:v>0.729246953435599</c:v>
                </c:pt>
                <c:pt idx="10">
                  <c:v>0.737795653317562</c:v>
                </c:pt>
                <c:pt idx="11">
                  <c:v>0.747348402093233</c:v>
                </c:pt>
                <c:pt idx="12">
                  <c:v>0.757071245075788</c:v>
                </c:pt>
                <c:pt idx="13">
                  <c:v>0.765679327526266</c:v>
                </c:pt>
                <c:pt idx="14">
                  <c:v>0.773219871490866</c:v>
                </c:pt>
                <c:pt idx="15">
                  <c:v>0.779740897785945</c:v>
                </c:pt>
                <c:pt idx="16">
                  <c:v>0.785290790150775</c:v>
                </c:pt>
                <c:pt idx="17">
                  <c:v>0.789917858544478</c:v>
                </c:pt>
                <c:pt idx="18">
                  <c:v>0.79367000495759</c:v>
                </c:pt>
                <c:pt idx="19">
                  <c:v>0.796594439161404</c:v>
                </c:pt>
                <c:pt idx="20">
                  <c:v>0.798737454462305</c:v>
                </c:pt>
                <c:pt idx="21">
                  <c:v>0.800144202797639</c:v>
                </c:pt>
                <c:pt idx="22">
                  <c:v>0.800858588215347</c:v>
                </c:pt>
                <c:pt idx="23">
                  <c:v>0.800923132653301</c:v>
                </c:pt>
                <c:pt idx="24">
                  <c:v>0.800378888459815</c:v>
                </c:pt>
                <c:pt idx="25">
                  <c:v>0.799265376017855</c:v>
                </c:pt>
                <c:pt idx="26">
                  <c:v>0.797620542849904</c:v>
                </c:pt>
                <c:pt idx="27">
                  <c:v>0.795480740987447</c:v>
                </c:pt>
                <c:pt idx="28">
                  <c:v>0.79288071976871</c:v>
                </c:pt>
                <c:pt idx="29">
                  <c:v>0.789853631568326</c:v>
                </c:pt>
                <c:pt idx="30">
                  <c:v>0.786431048271196</c:v>
                </c:pt>
                <c:pt idx="31">
                  <c:v>0.782642986580059</c:v>
                </c:pt>
                <c:pt idx="32">
                  <c:v>0.778517940494245</c:v>
                </c:pt>
                <c:pt idx="33">
                  <c:v>0.7740829195184</c:v>
                </c:pt>
                <c:pt idx="34">
                  <c:v>0.769363491356553</c:v>
                </c:pt>
                <c:pt idx="35">
                  <c:v>0.764383828020989</c:v>
                </c:pt>
                <c:pt idx="36">
                  <c:v>0.759166754439303</c:v>
                </c:pt>
                <c:pt idx="37">
                  <c:v>0.75373379877833</c:v>
                </c:pt>
                <c:pt idx="38">
                  <c:v>0.748105243822644</c:v>
                </c:pt>
                <c:pt idx="39">
                  <c:v>0.74230017884939</c:v>
                </c:pt>
                <c:pt idx="40">
                  <c:v>0.736336551532215</c:v>
                </c:pt>
                <c:pt idx="41">
                  <c:v>0.73023121948618</c:v>
                </c:pt>
              </c:numCache>
            </c:numRef>
          </c:yVal>
        </c:ser>
        <c:ser>
          <c:idx val="7"/>
          <c:order val="7"/>
          <c:tx>
            <c:strRef>
              <c:f>'Grism model 1.85-2.4'!$D$11</c:f>
              <c:strCache>
                <c:ptCount val="1"/>
                <c:pt idx="0">
                  <c:v>E-2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1.85-2.4'!$D$12:$D$53</c:f>
              <c:numCache>
                <c:formatCode>0.000</c:formatCode>
                <c:ptCount val="42"/>
                <c:pt idx="0">
                  <c:v>0.114309940789731</c:v>
                </c:pt>
                <c:pt idx="1">
                  <c:v>0.0995753637144495</c:v>
                </c:pt>
                <c:pt idx="2">
                  <c:v>0.0995753637144495</c:v>
                </c:pt>
                <c:pt idx="3">
                  <c:v>0.0862863271674256</c:v>
                </c:pt>
                <c:pt idx="4">
                  <c:v>0.0743471356089182</c:v>
                </c:pt>
                <c:pt idx="5">
                  <c:v>0.0636632375832452</c:v>
                </c:pt>
                <c:pt idx="6">
                  <c:v>0.0541425856144794</c:v>
                </c:pt>
                <c:pt idx="7">
                  <c:v>0.0456959910069498</c:v>
                </c:pt>
                <c:pt idx="8">
                  <c:v>0.0382227394624976</c:v>
                </c:pt>
                <c:pt idx="9">
                  <c:v>0.0316369934247754</c:v>
                </c:pt>
                <c:pt idx="10">
                  <c:v>0.0257992039154439</c:v>
                </c:pt>
                <c:pt idx="11">
                  <c:v>0.0208311806312256</c:v>
                </c:pt>
                <c:pt idx="12">
                  <c:v>0.0165938104731528</c:v>
                </c:pt>
                <c:pt idx="13">
                  <c:v>0.0129775611462074</c:v>
                </c:pt>
                <c:pt idx="14">
                  <c:v>0.00992379677045773</c:v>
                </c:pt>
                <c:pt idx="15">
                  <c:v>0.00737811305150884</c:v>
                </c:pt>
                <c:pt idx="16">
                  <c:v>0.00529016953508935</c:v>
                </c:pt>
                <c:pt idx="17">
                  <c:v>0.00361351126573708</c:v>
                </c:pt>
                <c:pt idx="18">
                  <c:v>0.00230537064394785</c:v>
                </c:pt>
                <c:pt idx="19">
                  <c:v>0.00132646241799092</c:v>
                </c:pt>
                <c:pt idx="20">
                  <c:v>0.000640774598773333</c:v>
                </c:pt>
                <c:pt idx="21">
                  <c:v>0.000215363958210293</c:v>
                </c:pt>
                <c:pt idx="22">
                  <c:v>2.01473364686067E-5</c:v>
                </c:pt>
                <c:pt idx="23">
                  <c:v>2.77045940579761E-5</c:v>
                </c:pt>
                <c:pt idx="24">
                  <c:v>0.000213086797793073</c:v>
                </c:pt>
                <c:pt idx="25">
                  <c:v>0.00055363262445056</c:v>
                </c:pt>
                <c:pt idx="26">
                  <c:v>0.0010287937243114</c:v>
                </c:pt>
                <c:pt idx="27">
                  <c:v>0.00161996948626082</c:v>
                </c:pt>
                <c:pt idx="28">
                  <c:v>0.00231035140852814</c:v>
                </c:pt>
                <c:pt idx="29">
                  <c:v>0.00308477709352661</c:v>
                </c:pt>
                <c:pt idx="30">
                  <c:v>0.00392959374235247</c:v>
                </c:pt>
                <c:pt idx="31">
                  <c:v>0.00483253091655028</c:v>
                </c:pt>
                <c:pt idx="32">
                  <c:v>0.0057825822552483</c:v>
                </c:pt>
                <c:pt idx="33">
                  <c:v>0.0067698957792605</c:v>
                </c:pt>
                <c:pt idx="34">
                  <c:v>0.00778567237575083</c:v>
                </c:pt>
                <c:pt idx="35">
                  <c:v>0.00882207203378167</c:v>
                </c:pt>
                <c:pt idx="36">
                  <c:v>0.00987212738944851</c:v>
                </c:pt>
                <c:pt idx="37">
                  <c:v>0.0109296641367821</c:v>
                </c:pt>
                <c:pt idx="38">
                  <c:v>0.0119892278650837</c:v>
                </c:pt>
                <c:pt idx="39">
                  <c:v>0.0130460168931566</c:v>
                </c:pt>
                <c:pt idx="40">
                  <c:v>0.0140958206846059</c:v>
                </c:pt>
                <c:pt idx="41">
                  <c:v>0.0151349634449029</c:v>
                </c:pt>
              </c:numCache>
            </c:numRef>
          </c:yVal>
        </c:ser>
        <c:ser>
          <c:idx val="8"/>
          <c:order val="8"/>
          <c:tx>
            <c:strRef>
              <c:f>'Grism model 1.85-2.4'!$E$11</c:f>
              <c:strCache>
                <c:ptCount val="1"/>
                <c:pt idx="0">
                  <c:v>E-3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1.85-2.4'!$E$12:$E$53</c:f>
              <c:numCache>
                <c:formatCode>0.000</c:formatCode>
                <c:ptCount val="42"/>
                <c:pt idx="0">
                  <c:v>0.0190310335171228</c:v>
                </c:pt>
                <c:pt idx="1">
                  <c:v>0.0170826670749617</c:v>
                </c:pt>
                <c:pt idx="2">
                  <c:v>0.0170826670749617</c:v>
                </c:pt>
                <c:pt idx="3">
                  <c:v>0.0152238038680227</c:v>
                </c:pt>
                <c:pt idx="4">
                  <c:v>0.0134662677488341</c:v>
                </c:pt>
                <c:pt idx="5">
                  <c:v>0.0118184571952435</c:v>
                </c:pt>
                <c:pt idx="6">
                  <c:v>0.0102858406037267</c:v>
                </c:pt>
                <c:pt idx="7">
                  <c:v>0.00887142171339231</c:v>
                </c:pt>
                <c:pt idx="8">
                  <c:v>0.00757311110934475</c:v>
                </c:pt>
                <c:pt idx="9">
                  <c:v>0.00638907757774497</c:v>
                </c:pt>
                <c:pt idx="10">
                  <c:v>0.00530413634353394</c:v>
                </c:pt>
                <c:pt idx="11">
                  <c:v>0.00435486857115588</c:v>
                </c:pt>
                <c:pt idx="12">
                  <c:v>0.00352329181970096</c:v>
                </c:pt>
                <c:pt idx="13">
                  <c:v>0.00279519191245332</c:v>
                </c:pt>
                <c:pt idx="14">
                  <c:v>0.00216546495136308</c:v>
                </c:pt>
                <c:pt idx="15">
                  <c:v>0.00162869830988359</c:v>
                </c:pt>
                <c:pt idx="16">
                  <c:v>0.00117929507707473</c:v>
                </c:pt>
                <c:pt idx="17">
                  <c:v>0.000811575487287204</c:v>
                </c:pt>
                <c:pt idx="18">
                  <c:v>0.000519860517017847</c:v>
                </c:pt>
                <c:pt idx="19">
                  <c:v>0.000298539210493839</c:v>
                </c:pt>
                <c:pt idx="20">
                  <c:v>0.000142122448581905</c:v>
                </c:pt>
                <c:pt idx="21">
                  <c:v>4.52835101742565E-5</c:v>
                </c:pt>
                <c:pt idx="22">
                  <c:v>2.89103940451463E-6</c:v>
                </c:pt>
                <c:pt idx="23">
                  <c:v>1.0031730464852E-5</c:v>
                </c:pt>
                <c:pt idx="24">
                  <c:v>6.20264528975556E-5</c:v>
                </c:pt>
                <c:pt idx="25">
                  <c:v>0.000154440508144321</c:v>
                </c:pt>
                <c:pt idx="26">
                  <c:v>0.000283089053590107</c:v>
                </c:pt>
                <c:pt idx="27">
                  <c:v>0.000444038585487008</c:v>
                </c:pt>
                <c:pt idx="28">
                  <c:v>0.000633605243772019</c:v>
                </c:pt>
                <c:pt idx="29">
                  <c:v>0.000848350588710925</c:v>
                </c:pt>
                <c:pt idx="30">
                  <c:v>0.00108507540022156</c:v>
                </c:pt>
                <c:pt idx="31">
                  <c:v>0.0013408119643417</c:v>
                </c:pt>
                <c:pt idx="32">
                  <c:v>0.00161281523632419</c:v>
                </c:pt>
                <c:pt idx="33">
                  <c:v>0.00189855320502878</c:v>
                </c:pt>
                <c:pt idx="34">
                  <c:v>0.00219569672748755</c:v>
                </c:pt>
                <c:pt idx="35">
                  <c:v>0.00250210905467624</c:v>
                </c:pt>
                <c:pt idx="36">
                  <c:v>0.00281583522865533</c:v>
                </c:pt>
                <c:pt idx="37">
                  <c:v>0.00313509149647073</c:v>
                </c:pt>
                <c:pt idx="38">
                  <c:v>0.00345825485673212</c:v>
                </c:pt>
                <c:pt idx="39">
                  <c:v>0.00378385282991333</c:v>
                </c:pt>
                <c:pt idx="40">
                  <c:v>0.00411055352251693</c:v>
                </c:pt>
                <c:pt idx="41">
                  <c:v>0.00443715603776622</c:v>
                </c:pt>
              </c:numCache>
            </c:numRef>
          </c:yVal>
        </c:ser>
        <c:ser>
          <c:idx val="9"/>
          <c:order val="9"/>
          <c:tx>
            <c:strRef>
              <c:f>'Grism model 1.85-2.4'!$F$11</c:f>
              <c:strCache>
                <c:ptCount val="1"/>
                <c:pt idx="0">
                  <c:v>E0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1.85-2.4'!$F$12:$F$53</c:f>
              <c:numCache>
                <c:formatCode>0.000</c:formatCode>
                <c:ptCount val="42"/>
                <c:pt idx="0">
                  <c:v>0.0326049965431398</c:v>
                </c:pt>
                <c:pt idx="1">
                  <c:v>0.0308489813182402</c:v>
                </c:pt>
                <c:pt idx="2">
                  <c:v>0.0308489813182402</c:v>
                </c:pt>
                <c:pt idx="3">
                  <c:v>0.0289474801553575</c:v>
                </c:pt>
                <c:pt idx="4">
                  <c:v>0.0269350385561018</c:v>
                </c:pt>
                <c:pt idx="5">
                  <c:v>0.0248448197028978</c:v>
                </c:pt>
                <c:pt idx="6">
                  <c:v>0.022708476595386</c:v>
                </c:pt>
                <c:pt idx="7">
                  <c:v>0.0205556275313386</c:v>
                </c:pt>
                <c:pt idx="8">
                  <c:v>0.018406540574532</c:v>
                </c:pt>
                <c:pt idx="9">
                  <c:v>0.0162828622823874</c:v>
                </c:pt>
                <c:pt idx="10">
                  <c:v>0.0141713980575192</c:v>
                </c:pt>
                <c:pt idx="11">
                  <c:v>0.0121979114068835</c:v>
                </c:pt>
                <c:pt idx="12">
                  <c:v>0.0103491248371661</c:v>
                </c:pt>
                <c:pt idx="13">
                  <c:v>0.00861614310389026</c:v>
                </c:pt>
                <c:pt idx="14">
                  <c:v>0.00701361150229255</c:v>
                </c:pt>
                <c:pt idx="15">
                  <c:v>0.00555424664147656</c:v>
                </c:pt>
                <c:pt idx="16">
                  <c:v>0.0042489222457943</c:v>
                </c:pt>
                <c:pt idx="17">
                  <c:v>0.00310678796810454</c:v>
                </c:pt>
                <c:pt idx="18">
                  <c:v>0.00213537982800495</c:v>
                </c:pt>
                <c:pt idx="19">
                  <c:v>0.00134073516648927</c:v>
                </c:pt>
                <c:pt idx="20">
                  <c:v>0.000727502834833538</c:v>
                </c:pt>
                <c:pt idx="21">
                  <c:v>0.000299074119518681</c:v>
                </c:pt>
                <c:pt idx="22">
                  <c:v>5.76724375062363E-5</c:v>
                </c:pt>
                <c:pt idx="23">
                  <c:v>4.46784300774223E-6</c:v>
                </c:pt>
                <c:pt idx="24">
                  <c:v>0.000139679107221533</c:v>
                </c:pt>
                <c:pt idx="25">
                  <c:v>0.00046267075142754</c:v>
                </c:pt>
                <c:pt idx="26">
                  <c:v>0.000972044704064062</c:v>
                </c:pt>
                <c:pt idx="27">
                  <c:v>0.00166572639397892</c:v>
                </c:pt>
                <c:pt idx="28">
                  <c:v>0.00254104520682764</c:v>
                </c:pt>
                <c:pt idx="29">
                  <c:v>0.00359480932348054</c:v>
                </c:pt>
                <c:pt idx="30">
                  <c:v>0.00482337503174302</c:v>
                </c:pt>
                <c:pt idx="31">
                  <c:v>0.00622271065872536</c:v>
                </c:pt>
                <c:pt idx="32">
                  <c:v>0.00778845531348184</c:v>
                </c:pt>
                <c:pt idx="33">
                  <c:v>0.00951597266035054</c:v>
                </c:pt>
                <c:pt idx="34">
                  <c:v>0.0114003999647906</c:v>
                </c:pt>
                <c:pt idx="35">
                  <c:v>0.0134366926671018</c:v>
                </c:pt>
                <c:pt idx="36">
                  <c:v>0.0156196647467023</c:v>
                </c:pt>
                <c:pt idx="37">
                  <c:v>0.0179440251418673</c:v>
                </c:pt>
                <c:pt idx="38">
                  <c:v>0.0204044104880363</c:v>
                </c:pt>
                <c:pt idx="39">
                  <c:v>0.0229954144328655</c:v>
                </c:pt>
                <c:pt idx="40">
                  <c:v>0.0257116137788595</c:v>
                </c:pt>
                <c:pt idx="41">
                  <c:v>0.0285475916952982</c:v>
                </c:pt>
              </c:numCache>
            </c:numRef>
          </c:yVal>
        </c:ser>
        <c:ser>
          <c:idx val="10"/>
          <c:order val="10"/>
          <c:tx>
            <c:strRef>
              <c:f>'Grism model 1.85-2.4'!$G$11</c:f>
              <c:strCache>
                <c:ptCount val="1"/>
                <c:pt idx="0">
                  <c:v>E1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1.85-2.4'!$G$12:$G$53</c:f>
              <c:numCache>
                <c:formatCode>0.000</c:formatCode>
                <c:ptCount val="42"/>
                <c:pt idx="0">
                  <c:v>0.0105674312756009</c:v>
                </c:pt>
                <c:pt idx="1">
                  <c:v>0.00988871862606841</c:v>
                </c:pt>
                <c:pt idx="2">
                  <c:v>0.00988871862606841</c:v>
                </c:pt>
                <c:pt idx="3">
                  <c:v>0.00917893285428124</c:v>
                </c:pt>
                <c:pt idx="4">
                  <c:v>0.00844999620018941</c:v>
                </c:pt>
                <c:pt idx="5">
                  <c:v>0.00771285916383406</c:v>
                </c:pt>
                <c:pt idx="6">
                  <c:v>0.00697754028734337</c:v>
                </c:pt>
                <c:pt idx="7">
                  <c:v>0.00625296799806636</c:v>
                </c:pt>
                <c:pt idx="8">
                  <c:v>0.00554486716064575</c:v>
                </c:pt>
                <c:pt idx="9">
                  <c:v>0.00485910325922514</c:v>
                </c:pt>
                <c:pt idx="10">
                  <c:v>0.0041909665499887</c:v>
                </c:pt>
                <c:pt idx="11">
                  <c:v>0.00357658848125644</c:v>
                </c:pt>
                <c:pt idx="12">
                  <c:v>0.00301040089984789</c:v>
                </c:pt>
                <c:pt idx="13">
                  <c:v>0.00248825602629276</c:v>
                </c:pt>
                <c:pt idx="14">
                  <c:v>0.00201284255871548</c:v>
                </c:pt>
                <c:pt idx="15">
                  <c:v>0.00158618936821624</c:v>
                </c:pt>
                <c:pt idx="16">
                  <c:v>0.00120972124482729</c:v>
                </c:pt>
                <c:pt idx="17">
                  <c:v>0.000884323705766643</c:v>
                </c:pt>
                <c:pt idx="18">
                  <c:v>0.000610400260639118</c:v>
                </c:pt>
                <c:pt idx="19">
                  <c:v>0.00038792794039539</c:v>
                </c:pt>
                <c:pt idx="20">
                  <c:v>0.000216507771189867</c:v>
                </c:pt>
                <c:pt idx="21">
                  <c:v>9.54206728629354E-5</c:v>
                </c:pt>
                <c:pt idx="22">
                  <c:v>2.36647096736914E-5</c:v>
                </c:pt>
                <c:pt idx="23">
                  <c:v>7.54673291262718E-11</c:v>
                </c:pt>
                <c:pt idx="24">
                  <c:v>2.29874209810379E-5</c:v>
                </c:pt>
                <c:pt idx="25">
                  <c:v>9.1022732859683E-5</c:v>
                </c:pt>
                <c:pt idx="26">
                  <c:v>0.000202368892012022</c:v>
                </c:pt>
                <c:pt idx="27">
                  <c:v>0.000355184067626783</c:v>
                </c:pt>
                <c:pt idx="28">
                  <c:v>0.000547547122560705</c:v>
                </c:pt>
                <c:pt idx="29">
                  <c:v>0.000777480217713385</c:v>
                </c:pt>
                <c:pt idx="30">
                  <c:v>0.00104296880894279</c:v>
                </c:pt>
                <c:pt idx="31">
                  <c:v>0.00134197923132937</c:v>
                </c:pt>
                <c:pt idx="32">
                  <c:v>0.00167247406323729</c:v>
                </c:pt>
                <c:pt idx="33">
                  <c:v>0.0020324254575228</c:v>
                </c:pt>
                <c:pt idx="34">
                  <c:v>0.00241982662013806</c:v>
                </c:pt>
                <c:pt idx="35">
                  <c:v>0.00283270160785407</c:v>
                </c:pt>
                <c:pt idx="36">
                  <c:v>0.00326911360735999</c:v>
                </c:pt>
                <c:pt idx="37">
                  <c:v>0.00372717184797074</c:v>
                </c:pt>
                <c:pt idx="38">
                  <c:v>0.00420503728988577</c:v>
                </c:pt>
                <c:pt idx="39">
                  <c:v>0.00470092721963002</c:v>
                </c:pt>
                <c:pt idx="40">
                  <c:v>0.00521311887414697</c:v>
                </c:pt>
                <c:pt idx="41">
                  <c:v>0.00573995220514521</c:v>
                </c:pt>
              </c:numCache>
            </c:numRef>
          </c:yVal>
        </c:ser>
        <c:ser>
          <c:idx val="11"/>
          <c:order val="11"/>
          <c:tx>
            <c:strRef>
              <c:f>'Grism model 1.85-2.4'!$H$11</c:f>
              <c:strCache>
                <c:ptCount val="1"/>
                <c:pt idx="0">
                  <c:v>E2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1.85-2.4'!$H$12:$H$53</c:f>
              <c:numCache>
                <c:formatCode>0.000</c:formatCode>
                <c:ptCount val="42"/>
                <c:pt idx="0">
                  <c:v>0.00519829214877688</c:v>
                </c:pt>
                <c:pt idx="1">
                  <c:v>0.00484798494368417</c:v>
                </c:pt>
                <c:pt idx="2">
                  <c:v>0.00484798494368417</c:v>
                </c:pt>
                <c:pt idx="3">
                  <c:v>0.0044855361942083</c:v>
                </c:pt>
                <c:pt idx="4">
                  <c:v>0.00411678424862232</c:v>
                </c:pt>
                <c:pt idx="5">
                  <c:v>0.00374699964599245</c:v>
                </c:pt>
                <c:pt idx="6">
                  <c:v>0.00338093157833337</c:v>
                </c:pt>
                <c:pt idx="7">
                  <c:v>0.0030227247098218</c:v>
                </c:pt>
                <c:pt idx="8">
                  <c:v>0.00267492813795745</c:v>
                </c:pt>
                <c:pt idx="9">
                  <c:v>0.00234012149880902</c:v>
                </c:pt>
                <c:pt idx="10">
                  <c:v>0.00201576483298161</c:v>
                </c:pt>
                <c:pt idx="11">
                  <c:v>0.0017189352683034</c:v>
                </c:pt>
                <c:pt idx="12">
                  <c:v>0.00144662100936384</c:v>
                </c:pt>
                <c:pt idx="13">
                  <c:v>0.00119650601542893</c:v>
                </c:pt>
                <c:pt idx="14">
                  <c:v>0.00096956265121475</c:v>
                </c:pt>
                <c:pt idx="15">
                  <c:v>0.000766451591534411</c:v>
                </c:pt>
                <c:pt idx="16">
                  <c:v>0.000587552303790928</c:v>
                </c:pt>
                <c:pt idx="17">
                  <c:v>0.000432998392609621</c:v>
                </c:pt>
                <c:pt idx="18">
                  <c:v>0.000302707832858199</c:v>
                </c:pt>
                <c:pt idx="19">
                  <c:v>0.00019641180795511</c:v>
                </c:pt>
                <c:pt idx="20">
                  <c:v>0.000113680220370826</c:v>
                </c:pt>
                <c:pt idx="21">
                  <c:v>5.39505559330789E-5</c:v>
                </c:pt>
                <c:pt idx="22">
                  <c:v>1.65452107161364E-5</c:v>
                </c:pt>
                <c:pt idx="23">
                  <c:v>6.93702991481157E-7</c:v>
                </c:pt>
                <c:pt idx="24">
                  <c:v>5.55094131523307E-6</c:v>
                </c:pt>
                <c:pt idx="25">
                  <c:v>3.02135715953562E-5</c:v>
                </c:pt>
                <c:pt idx="26">
                  <c:v>7.37345155281508E-5</c:v>
                </c:pt>
                <c:pt idx="27">
                  <c:v>0.000135135820572981</c:v>
                </c:pt>
                <c:pt idx="28">
                  <c:v>0.000213419945291689</c:v>
                </c:pt>
                <c:pt idx="29">
                  <c:v>0.00030757960433909</c:v>
                </c:pt>
                <c:pt idx="30">
                  <c:v>0.000416606295417556</c:v>
                </c:pt>
                <c:pt idx="31">
                  <c:v>0.000539497626727425</c:v>
                </c:pt>
                <c:pt idx="32">
                  <c:v>0.000675263558366325</c:v>
                </c:pt>
                <c:pt idx="33">
                  <c:v>0.000822931665161754</c:v>
                </c:pt>
                <c:pt idx="34">
                  <c:v>0.000981551521892664</c:v>
                </c:pt>
                <c:pt idx="35">
                  <c:v>0.00115019830502215</c:v>
                </c:pt>
                <c:pt idx="36">
                  <c:v>0.00132797569812638</c:v>
                </c:pt>
                <c:pt idx="37">
                  <c:v>0.00151401818131808</c:v>
                </c:pt>
                <c:pt idx="38">
                  <c:v>0.00170749277823998</c:v>
                </c:pt>
                <c:pt idx="39">
                  <c:v>0.00190760032772884</c:v>
                </c:pt>
                <c:pt idx="40">
                  <c:v>0.00211357634108269</c:v>
                </c:pt>
                <c:pt idx="41">
                  <c:v>0.00232469150004008</c:v>
                </c:pt>
              </c:numCache>
            </c:numRef>
          </c:yVal>
        </c:ser>
        <c:ser>
          <c:idx val="1"/>
          <c:order val="0"/>
          <c:tx>
            <c:strRef>
              <c:f>'Grism model 1.85-2.4'!$C$11</c:f>
              <c:strCache>
                <c:ptCount val="1"/>
                <c:pt idx="0">
                  <c:v>E-1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1.85-2.4'!$C$12:$C$53</c:f>
              <c:numCache>
                <c:formatCode>0.000</c:formatCode>
                <c:ptCount val="42"/>
                <c:pt idx="0">
                  <c:v>0.585262786215106</c:v>
                </c:pt>
                <c:pt idx="1">
                  <c:v>0.60820767899876</c:v>
                </c:pt>
                <c:pt idx="2">
                  <c:v>0.60820767899876</c:v>
                </c:pt>
                <c:pt idx="3">
                  <c:v>0.629774104279911</c:v>
                </c:pt>
                <c:pt idx="4">
                  <c:v>0.649952469391811</c:v>
                </c:pt>
                <c:pt idx="5">
                  <c:v>0.668745034231872</c:v>
                </c:pt>
                <c:pt idx="6">
                  <c:v>0.686163163994043</c:v>
                </c:pt>
                <c:pt idx="7">
                  <c:v>0.702227497000442</c:v>
                </c:pt>
                <c:pt idx="8">
                  <c:v>0.716678177418647</c:v>
                </c:pt>
                <c:pt idx="9">
                  <c:v>0.729246953435599</c:v>
                </c:pt>
                <c:pt idx="10">
                  <c:v>0.737795653317562</c:v>
                </c:pt>
                <c:pt idx="11">
                  <c:v>0.747348402093233</c:v>
                </c:pt>
                <c:pt idx="12">
                  <c:v>0.757071245075788</c:v>
                </c:pt>
                <c:pt idx="13">
                  <c:v>0.765679327526266</c:v>
                </c:pt>
                <c:pt idx="14">
                  <c:v>0.773219871490866</c:v>
                </c:pt>
                <c:pt idx="15">
                  <c:v>0.779740897785945</c:v>
                </c:pt>
                <c:pt idx="16">
                  <c:v>0.785290790150775</c:v>
                </c:pt>
                <c:pt idx="17">
                  <c:v>0.789917858544478</c:v>
                </c:pt>
                <c:pt idx="18">
                  <c:v>0.79367000495759</c:v>
                </c:pt>
                <c:pt idx="19">
                  <c:v>0.796594439161404</c:v>
                </c:pt>
                <c:pt idx="20">
                  <c:v>0.798737454462305</c:v>
                </c:pt>
                <c:pt idx="21">
                  <c:v>0.800144202797639</c:v>
                </c:pt>
                <c:pt idx="22">
                  <c:v>0.800858588215347</c:v>
                </c:pt>
                <c:pt idx="23">
                  <c:v>0.800923132653301</c:v>
                </c:pt>
                <c:pt idx="24">
                  <c:v>0.800378888459815</c:v>
                </c:pt>
                <c:pt idx="25">
                  <c:v>0.799265376017855</c:v>
                </c:pt>
                <c:pt idx="26">
                  <c:v>0.797620542849904</c:v>
                </c:pt>
                <c:pt idx="27">
                  <c:v>0.795480740987447</c:v>
                </c:pt>
                <c:pt idx="28">
                  <c:v>0.79288071976871</c:v>
                </c:pt>
                <c:pt idx="29">
                  <c:v>0.789853631568326</c:v>
                </c:pt>
                <c:pt idx="30">
                  <c:v>0.786431048271196</c:v>
                </c:pt>
                <c:pt idx="31">
                  <c:v>0.782642986580059</c:v>
                </c:pt>
                <c:pt idx="32">
                  <c:v>0.778517940494245</c:v>
                </c:pt>
                <c:pt idx="33">
                  <c:v>0.7740829195184</c:v>
                </c:pt>
                <c:pt idx="34">
                  <c:v>0.769363491356553</c:v>
                </c:pt>
                <c:pt idx="35">
                  <c:v>0.764383828020989</c:v>
                </c:pt>
                <c:pt idx="36">
                  <c:v>0.759166754439303</c:v>
                </c:pt>
                <c:pt idx="37">
                  <c:v>0.75373379877833</c:v>
                </c:pt>
                <c:pt idx="38">
                  <c:v>0.748105243822644</c:v>
                </c:pt>
                <c:pt idx="39">
                  <c:v>0.74230017884939</c:v>
                </c:pt>
                <c:pt idx="40">
                  <c:v>0.736336551532215</c:v>
                </c:pt>
                <c:pt idx="41">
                  <c:v>0.73023121948618</c:v>
                </c:pt>
              </c:numCache>
            </c:numRef>
          </c:yVal>
        </c:ser>
        <c:ser>
          <c:idx val="2"/>
          <c:order val="1"/>
          <c:tx>
            <c:strRef>
              <c:f>'Grism model 1.85-2.4'!$D$11</c:f>
              <c:strCache>
                <c:ptCount val="1"/>
                <c:pt idx="0">
                  <c:v>E-2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1.85-2.4'!$D$12:$D$53</c:f>
              <c:numCache>
                <c:formatCode>0.000</c:formatCode>
                <c:ptCount val="42"/>
                <c:pt idx="0">
                  <c:v>0.114309940789731</c:v>
                </c:pt>
                <c:pt idx="1">
                  <c:v>0.0995753637144495</c:v>
                </c:pt>
                <c:pt idx="2">
                  <c:v>0.0995753637144495</c:v>
                </c:pt>
                <c:pt idx="3">
                  <c:v>0.0862863271674256</c:v>
                </c:pt>
                <c:pt idx="4">
                  <c:v>0.0743471356089182</c:v>
                </c:pt>
                <c:pt idx="5">
                  <c:v>0.0636632375832452</c:v>
                </c:pt>
                <c:pt idx="6">
                  <c:v>0.0541425856144794</c:v>
                </c:pt>
                <c:pt idx="7">
                  <c:v>0.0456959910069498</c:v>
                </c:pt>
                <c:pt idx="8">
                  <c:v>0.0382227394624976</c:v>
                </c:pt>
                <c:pt idx="9">
                  <c:v>0.0316369934247754</c:v>
                </c:pt>
                <c:pt idx="10">
                  <c:v>0.0257992039154439</c:v>
                </c:pt>
                <c:pt idx="11">
                  <c:v>0.0208311806312256</c:v>
                </c:pt>
                <c:pt idx="12">
                  <c:v>0.0165938104731528</c:v>
                </c:pt>
                <c:pt idx="13">
                  <c:v>0.0129775611462074</c:v>
                </c:pt>
                <c:pt idx="14">
                  <c:v>0.00992379677045773</c:v>
                </c:pt>
                <c:pt idx="15">
                  <c:v>0.00737811305150884</c:v>
                </c:pt>
                <c:pt idx="16">
                  <c:v>0.00529016953508935</c:v>
                </c:pt>
                <c:pt idx="17">
                  <c:v>0.00361351126573708</c:v>
                </c:pt>
                <c:pt idx="18">
                  <c:v>0.00230537064394785</c:v>
                </c:pt>
                <c:pt idx="19">
                  <c:v>0.00132646241799092</c:v>
                </c:pt>
                <c:pt idx="20">
                  <c:v>0.000640774598773333</c:v>
                </c:pt>
                <c:pt idx="21">
                  <c:v>0.000215363958210293</c:v>
                </c:pt>
                <c:pt idx="22">
                  <c:v>2.01473364686067E-5</c:v>
                </c:pt>
                <c:pt idx="23">
                  <c:v>2.77045940579761E-5</c:v>
                </c:pt>
                <c:pt idx="24">
                  <c:v>0.000213086797793073</c:v>
                </c:pt>
                <c:pt idx="25">
                  <c:v>0.00055363262445056</c:v>
                </c:pt>
                <c:pt idx="26">
                  <c:v>0.0010287937243114</c:v>
                </c:pt>
                <c:pt idx="27">
                  <c:v>0.00161996948626082</c:v>
                </c:pt>
                <c:pt idx="28">
                  <c:v>0.00231035140852814</c:v>
                </c:pt>
                <c:pt idx="29">
                  <c:v>0.00308477709352661</c:v>
                </c:pt>
                <c:pt idx="30">
                  <c:v>0.00392959374235247</c:v>
                </c:pt>
                <c:pt idx="31">
                  <c:v>0.00483253091655028</c:v>
                </c:pt>
                <c:pt idx="32">
                  <c:v>0.0057825822552483</c:v>
                </c:pt>
                <c:pt idx="33">
                  <c:v>0.0067698957792605</c:v>
                </c:pt>
                <c:pt idx="34">
                  <c:v>0.00778567237575083</c:v>
                </c:pt>
                <c:pt idx="35">
                  <c:v>0.00882207203378167</c:v>
                </c:pt>
                <c:pt idx="36">
                  <c:v>0.00987212738944851</c:v>
                </c:pt>
                <c:pt idx="37">
                  <c:v>0.0109296641367821</c:v>
                </c:pt>
                <c:pt idx="38">
                  <c:v>0.0119892278650837</c:v>
                </c:pt>
                <c:pt idx="39">
                  <c:v>0.0130460168931566</c:v>
                </c:pt>
                <c:pt idx="40">
                  <c:v>0.0140958206846059</c:v>
                </c:pt>
                <c:pt idx="41">
                  <c:v>0.0151349634449029</c:v>
                </c:pt>
              </c:numCache>
            </c:numRef>
          </c:yVal>
        </c:ser>
        <c:ser>
          <c:idx val="3"/>
          <c:order val="2"/>
          <c:tx>
            <c:strRef>
              <c:f>'Grism model 1.85-2.4'!$E$11</c:f>
              <c:strCache>
                <c:ptCount val="1"/>
                <c:pt idx="0">
                  <c:v>E-3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1.85-2.4'!$E$12:$E$53</c:f>
              <c:numCache>
                <c:formatCode>0.000</c:formatCode>
                <c:ptCount val="42"/>
                <c:pt idx="0">
                  <c:v>0.0190310335171228</c:v>
                </c:pt>
                <c:pt idx="1">
                  <c:v>0.0170826670749617</c:v>
                </c:pt>
                <c:pt idx="2">
                  <c:v>0.0170826670749617</c:v>
                </c:pt>
                <c:pt idx="3">
                  <c:v>0.0152238038680227</c:v>
                </c:pt>
                <c:pt idx="4">
                  <c:v>0.0134662677488341</c:v>
                </c:pt>
                <c:pt idx="5">
                  <c:v>0.0118184571952435</c:v>
                </c:pt>
                <c:pt idx="6">
                  <c:v>0.0102858406037267</c:v>
                </c:pt>
                <c:pt idx="7">
                  <c:v>0.00887142171339231</c:v>
                </c:pt>
                <c:pt idx="8">
                  <c:v>0.00757311110934475</c:v>
                </c:pt>
                <c:pt idx="9">
                  <c:v>0.00638907757774497</c:v>
                </c:pt>
                <c:pt idx="10">
                  <c:v>0.00530413634353394</c:v>
                </c:pt>
                <c:pt idx="11">
                  <c:v>0.00435486857115588</c:v>
                </c:pt>
                <c:pt idx="12">
                  <c:v>0.00352329181970096</c:v>
                </c:pt>
                <c:pt idx="13">
                  <c:v>0.00279519191245332</c:v>
                </c:pt>
                <c:pt idx="14">
                  <c:v>0.00216546495136308</c:v>
                </c:pt>
                <c:pt idx="15">
                  <c:v>0.00162869830988359</c:v>
                </c:pt>
                <c:pt idx="16">
                  <c:v>0.00117929507707473</c:v>
                </c:pt>
                <c:pt idx="17">
                  <c:v>0.000811575487287204</c:v>
                </c:pt>
                <c:pt idx="18">
                  <c:v>0.000519860517017847</c:v>
                </c:pt>
                <c:pt idx="19">
                  <c:v>0.000298539210493839</c:v>
                </c:pt>
                <c:pt idx="20">
                  <c:v>0.000142122448581905</c:v>
                </c:pt>
                <c:pt idx="21">
                  <c:v>4.52835101742565E-5</c:v>
                </c:pt>
                <c:pt idx="22">
                  <c:v>2.89103940451463E-6</c:v>
                </c:pt>
                <c:pt idx="23">
                  <c:v>1.0031730464852E-5</c:v>
                </c:pt>
                <c:pt idx="24">
                  <c:v>6.20264528975556E-5</c:v>
                </c:pt>
                <c:pt idx="25">
                  <c:v>0.000154440508144321</c:v>
                </c:pt>
                <c:pt idx="26">
                  <c:v>0.000283089053590107</c:v>
                </c:pt>
                <c:pt idx="27">
                  <c:v>0.000444038585487008</c:v>
                </c:pt>
                <c:pt idx="28">
                  <c:v>0.000633605243772019</c:v>
                </c:pt>
                <c:pt idx="29">
                  <c:v>0.000848350588710925</c:v>
                </c:pt>
                <c:pt idx="30">
                  <c:v>0.00108507540022156</c:v>
                </c:pt>
                <c:pt idx="31">
                  <c:v>0.0013408119643417</c:v>
                </c:pt>
                <c:pt idx="32">
                  <c:v>0.00161281523632419</c:v>
                </c:pt>
                <c:pt idx="33">
                  <c:v>0.00189855320502878</c:v>
                </c:pt>
                <c:pt idx="34">
                  <c:v>0.00219569672748755</c:v>
                </c:pt>
                <c:pt idx="35">
                  <c:v>0.00250210905467624</c:v>
                </c:pt>
                <c:pt idx="36">
                  <c:v>0.00281583522865533</c:v>
                </c:pt>
                <c:pt idx="37">
                  <c:v>0.00313509149647073</c:v>
                </c:pt>
                <c:pt idx="38">
                  <c:v>0.00345825485673212</c:v>
                </c:pt>
                <c:pt idx="39">
                  <c:v>0.00378385282991333</c:v>
                </c:pt>
                <c:pt idx="40">
                  <c:v>0.00411055352251693</c:v>
                </c:pt>
                <c:pt idx="41">
                  <c:v>0.00443715603776622</c:v>
                </c:pt>
              </c:numCache>
            </c:numRef>
          </c:yVal>
        </c:ser>
        <c:ser>
          <c:idx val="4"/>
          <c:order val="3"/>
          <c:tx>
            <c:strRef>
              <c:f>'Grism model 1.85-2.4'!$F$11</c:f>
              <c:strCache>
                <c:ptCount val="1"/>
                <c:pt idx="0">
                  <c:v>E0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circle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1.85-2.4'!$F$12:$F$53</c:f>
              <c:numCache>
                <c:formatCode>0.000</c:formatCode>
                <c:ptCount val="42"/>
                <c:pt idx="0">
                  <c:v>0.0326049965431398</c:v>
                </c:pt>
                <c:pt idx="1">
                  <c:v>0.0308489813182402</c:v>
                </c:pt>
                <c:pt idx="2">
                  <c:v>0.0308489813182402</c:v>
                </c:pt>
                <c:pt idx="3">
                  <c:v>0.0289474801553575</c:v>
                </c:pt>
                <c:pt idx="4">
                  <c:v>0.0269350385561018</c:v>
                </c:pt>
                <c:pt idx="5">
                  <c:v>0.0248448197028978</c:v>
                </c:pt>
                <c:pt idx="6">
                  <c:v>0.022708476595386</c:v>
                </c:pt>
                <c:pt idx="7">
                  <c:v>0.0205556275313386</c:v>
                </c:pt>
                <c:pt idx="8">
                  <c:v>0.018406540574532</c:v>
                </c:pt>
                <c:pt idx="9">
                  <c:v>0.0162828622823874</c:v>
                </c:pt>
                <c:pt idx="10">
                  <c:v>0.0141713980575192</c:v>
                </c:pt>
                <c:pt idx="11">
                  <c:v>0.0121979114068835</c:v>
                </c:pt>
                <c:pt idx="12">
                  <c:v>0.0103491248371661</c:v>
                </c:pt>
                <c:pt idx="13">
                  <c:v>0.00861614310389026</c:v>
                </c:pt>
                <c:pt idx="14">
                  <c:v>0.00701361150229255</c:v>
                </c:pt>
                <c:pt idx="15">
                  <c:v>0.00555424664147656</c:v>
                </c:pt>
                <c:pt idx="16">
                  <c:v>0.0042489222457943</c:v>
                </c:pt>
                <c:pt idx="17">
                  <c:v>0.00310678796810454</c:v>
                </c:pt>
                <c:pt idx="18">
                  <c:v>0.00213537982800495</c:v>
                </c:pt>
                <c:pt idx="19">
                  <c:v>0.00134073516648927</c:v>
                </c:pt>
                <c:pt idx="20">
                  <c:v>0.000727502834833538</c:v>
                </c:pt>
                <c:pt idx="21">
                  <c:v>0.000299074119518681</c:v>
                </c:pt>
                <c:pt idx="22">
                  <c:v>5.76724375062363E-5</c:v>
                </c:pt>
                <c:pt idx="23">
                  <c:v>4.46784300774223E-6</c:v>
                </c:pt>
                <c:pt idx="24">
                  <c:v>0.000139679107221533</c:v>
                </c:pt>
                <c:pt idx="25">
                  <c:v>0.00046267075142754</c:v>
                </c:pt>
                <c:pt idx="26">
                  <c:v>0.000972044704064062</c:v>
                </c:pt>
                <c:pt idx="27">
                  <c:v>0.00166572639397892</c:v>
                </c:pt>
                <c:pt idx="28">
                  <c:v>0.00254104520682764</c:v>
                </c:pt>
                <c:pt idx="29">
                  <c:v>0.00359480932348054</c:v>
                </c:pt>
                <c:pt idx="30">
                  <c:v>0.00482337503174302</c:v>
                </c:pt>
                <c:pt idx="31">
                  <c:v>0.00622271065872536</c:v>
                </c:pt>
                <c:pt idx="32">
                  <c:v>0.00778845531348184</c:v>
                </c:pt>
                <c:pt idx="33">
                  <c:v>0.00951597266035054</c:v>
                </c:pt>
                <c:pt idx="34">
                  <c:v>0.0114003999647906</c:v>
                </c:pt>
                <c:pt idx="35">
                  <c:v>0.0134366926671018</c:v>
                </c:pt>
                <c:pt idx="36">
                  <c:v>0.0156196647467023</c:v>
                </c:pt>
                <c:pt idx="37">
                  <c:v>0.0179440251418673</c:v>
                </c:pt>
                <c:pt idx="38">
                  <c:v>0.0204044104880363</c:v>
                </c:pt>
                <c:pt idx="39">
                  <c:v>0.0229954144328655</c:v>
                </c:pt>
                <c:pt idx="40">
                  <c:v>0.0257116137788595</c:v>
                </c:pt>
                <c:pt idx="41">
                  <c:v>0.0285475916952982</c:v>
                </c:pt>
              </c:numCache>
            </c:numRef>
          </c:yVal>
        </c:ser>
        <c:ser>
          <c:idx val="5"/>
          <c:order val="4"/>
          <c:tx>
            <c:strRef>
              <c:f>'Grism model 1.85-2.4'!$G$11</c:f>
              <c:strCache>
                <c:ptCount val="1"/>
                <c:pt idx="0">
                  <c:v>E1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1.85-2.4'!$G$12:$G$53</c:f>
              <c:numCache>
                <c:formatCode>0.000</c:formatCode>
                <c:ptCount val="42"/>
                <c:pt idx="0">
                  <c:v>0.0105674312756009</c:v>
                </c:pt>
                <c:pt idx="1">
                  <c:v>0.00988871862606841</c:v>
                </c:pt>
                <c:pt idx="2">
                  <c:v>0.00988871862606841</c:v>
                </c:pt>
                <c:pt idx="3">
                  <c:v>0.00917893285428124</c:v>
                </c:pt>
                <c:pt idx="4">
                  <c:v>0.00844999620018941</c:v>
                </c:pt>
                <c:pt idx="5">
                  <c:v>0.00771285916383406</c:v>
                </c:pt>
                <c:pt idx="6">
                  <c:v>0.00697754028734337</c:v>
                </c:pt>
                <c:pt idx="7">
                  <c:v>0.00625296799806636</c:v>
                </c:pt>
                <c:pt idx="8">
                  <c:v>0.00554486716064575</c:v>
                </c:pt>
                <c:pt idx="9">
                  <c:v>0.00485910325922514</c:v>
                </c:pt>
                <c:pt idx="10">
                  <c:v>0.0041909665499887</c:v>
                </c:pt>
                <c:pt idx="11">
                  <c:v>0.00357658848125644</c:v>
                </c:pt>
                <c:pt idx="12">
                  <c:v>0.00301040089984789</c:v>
                </c:pt>
                <c:pt idx="13">
                  <c:v>0.00248825602629276</c:v>
                </c:pt>
                <c:pt idx="14">
                  <c:v>0.00201284255871548</c:v>
                </c:pt>
                <c:pt idx="15">
                  <c:v>0.00158618936821624</c:v>
                </c:pt>
                <c:pt idx="16">
                  <c:v>0.00120972124482729</c:v>
                </c:pt>
                <c:pt idx="17">
                  <c:v>0.000884323705766643</c:v>
                </c:pt>
                <c:pt idx="18">
                  <c:v>0.000610400260639118</c:v>
                </c:pt>
                <c:pt idx="19">
                  <c:v>0.00038792794039539</c:v>
                </c:pt>
                <c:pt idx="20">
                  <c:v>0.000216507771189867</c:v>
                </c:pt>
                <c:pt idx="21">
                  <c:v>9.54206728629354E-5</c:v>
                </c:pt>
                <c:pt idx="22">
                  <c:v>2.36647096736914E-5</c:v>
                </c:pt>
                <c:pt idx="23">
                  <c:v>7.54673291262718E-11</c:v>
                </c:pt>
                <c:pt idx="24">
                  <c:v>2.29874209810379E-5</c:v>
                </c:pt>
                <c:pt idx="25">
                  <c:v>9.1022732859683E-5</c:v>
                </c:pt>
                <c:pt idx="26">
                  <c:v>0.000202368892012022</c:v>
                </c:pt>
                <c:pt idx="27">
                  <c:v>0.000355184067626783</c:v>
                </c:pt>
                <c:pt idx="28">
                  <c:v>0.000547547122560705</c:v>
                </c:pt>
                <c:pt idx="29">
                  <c:v>0.000777480217713385</c:v>
                </c:pt>
                <c:pt idx="30">
                  <c:v>0.00104296880894279</c:v>
                </c:pt>
                <c:pt idx="31">
                  <c:v>0.00134197923132937</c:v>
                </c:pt>
                <c:pt idx="32">
                  <c:v>0.00167247406323729</c:v>
                </c:pt>
                <c:pt idx="33">
                  <c:v>0.0020324254575228</c:v>
                </c:pt>
                <c:pt idx="34">
                  <c:v>0.00241982662013806</c:v>
                </c:pt>
                <c:pt idx="35">
                  <c:v>0.00283270160785407</c:v>
                </c:pt>
                <c:pt idx="36">
                  <c:v>0.00326911360735999</c:v>
                </c:pt>
                <c:pt idx="37">
                  <c:v>0.00372717184797074</c:v>
                </c:pt>
                <c:pt idx="38">
                  <c:v>0.00420503728988577</c:v>
                </c:pt>
                <c:pt idx="39">
                  <c:v>0.00470092721963002</c:v>
                </c:pt>
                <c:pt idx="40">
                  <c:v>0.00521311887414697</c:v>
                </c:pt>
                <c:pt idx="41">
                  <c:v>0.00573995220514521</c:v>
                </c:pt>
              </c:numCache>
            </c:numRef>
          </c:yVal>
        </c:ser>
        <c:ser>
          <c:idx val="6"/>
          <c:order val="5"/>
          <c:tx>
            <c:strRef>
              <c:f>'Grism model 1.85-2.4'!$H$11</c:f>
              <c:strCache>
                <c:ptCount val="1"/>
                <c:pt idx="0">
                  <c:v>E2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'Grism model 1.85-2.4'!$A$12:$A$53</c:f>
              <c:numCache>
                <c:formatCode>0.000</c:formatCode>
                <c:ptCount val="42"/>
                <c:pt idx="0">
                  <c:v>1.6</c:v>
                </c:pt>
                <c:pt idx="1">
                  <c:v>1.6225</c:v>
                </c:pt>
                <c:pt idx="2">
                  <c:v>1.6225</c:v>
                </c:pt>
                <c:pt idx="3">
                  <c:v>1.645</c:v>
                </c:pt>
                <c:pt idx="4">
                  <c:v>1.6675</c:v>
                </c:pt>
                <c:pt idx="5">
                  <c:v>1.69</c:v>
                </c:pt>
                <c:pt idx="6">
                  <c:v>1.7125</c:v>
                </c:pt>
                <c:pt idx="7">
                  <c:v>1.735</c:v>
                </c:pt>
                <c:pt idx="8">
                  <c:v>1.7575</c:v>
                </c:pt>
                <c:pt idx="9">
                  <c:v>1.78</c:v>
                </c:pt>
                <c:pt idx="10">
                  <c:v>1.8025</c:v>
                </c:pt>
                <c:pt idx="11">
                  <c:v>1.825</c:v>
                </c:pt>
                <c:pt idx="12">
                  <c:v>1.8475</c:v>
                </c:pt>
                <c:pt idx="13">
                  <c:v>1.87</c:v>
                </c:pt>
                <c:pt idx="14">
                  <c:v>1.8925</c:v>
                </c:pt>
                <c:pt idx="15">
                  <c:v>1.915</c:v>
                </c:pt>
                <c:pt idx="16">
                  <c:v>1.9375</c:v>
                </c:pt>
                <c:pt idx="17">
                  <c:v>1.959999999999999</c:v>
                </c:pt>
                <c:pt idx="18">
                  <c:v>1.982499999999999</c:v>
                </c:pt>
                <c:pt idx="19">
                  <c:v>2.004999999999999</c:v>
                </c:pt>
                <c:pt idx="20">
                  <c:v>2.027499999999999</c:v>
                </c:pt>
                <c:pt idx="21">
                  <c:v>2.049999999999999</c:v>
                </c:pt>
                <c:pt idx="22">
                  <c:v>2.072499999999999</c:v>
                </c:pt>
                <c:pt idx="23">
                  <c:v>2.094999999999999</c:v>
                </c:pt>
                <c:pt idx="24">
                  <c:v>2.117499999999999</c:v>
                </c:pt>
                <c:pt idx="25">
                  <c:v>2.139999999999999</c:v>
                </c:pt>
                <c:pt idx="26">
                  <c:v>2.162499999999999</c:v>
                </c:pt>
                <c:pt idx="27">
                  <c:v>2.185</c:v>
                </c:pt>
                <c:pt idx="28">
                  <c:v>2.2075</c:v>
                </c:pt>
                <c:pt idx="29">
                  <c:v>2.23</c:v>
                </c:pt>
                <c:pt idx="30">
                  <c:v>2.252499999999999</c:v>
                </c:pt>
                <c:pt idx="31">
                  <c:v>2.275</c:v>
                </c:pt>
                <c:pt idx="32">
                  <c:v>2.297499999999999</c:v>
                </c:pt>
                <c:pt idx="33">
                  <c:v>2.319999999999999</c:v>
                </c:pt>
                <c:pt idx="34">
                  <c:v>2.342499999999999</c:v>
                </c:pt>
                <c:pt idx="35">
                  <c:v>2.364999999999999</c:v>
                </c:pt>
                <c:pt idx="36">
                  <c:v>2.387499999999999</c:v>
                </c:pt>
                <c:pt idx="37">
                  <c:v>2.409999999999999</c:v>
                </c:pt>
                <c:pt idx="38">
                  <c:v>2.432499999999999</c:v>
                </c:pt>
                <c:pt idx="39">
                  <c:v>2.454999999999999</c:v>
                </c:pt>
                <c:pt idx="40">
                  <c:v>2.477499999999999</c:v>
                </c:pt>
                <c:pt idx="41">
                  <c:v>2.499999999999999</c:v>
                </c:pt>
              </c:numCache>
            </c:numRef>
          </c:xVal>
          <c:yVal>
            <c:numRef>
              <c:f>'Grism model 1.85-2.4'!$H$12:$H$53</c:f>
              <c:numCache>
                <c:formatCode>0.000</c:formatCode>
                <c:ptCount val="42"/>
                <c:pt idx="0">
                  <c:v>0.00519829214877688</c:v>
                </c:pt>
                <c:pt idx="1">
                  <c:v>0.00484798494368417</c:v>
                </c:pt>
                <c:pt idx="2">
                  <c:v>0.00484798494368417</c:v>
                </c:pt>
                <c:pt idx="3">
                  <c:v>0.0044855361942083</c:v>
                </c:pt>
                <c:pt idx="4">
                  <c:v>0.00411678424862232</c:v>
                </c:pt>
                <c:pt idx="5">
                  <c:v>0.00374699964599245</c:v>
                </c:pt>
                <c:pt idx="6">
                  <c:v>0.00338093157833337</c:v>
                </c:pt>
                <c:pt idx="7">
                  <c:v>0.0030227247098218</c:v>
                </c:pt>
                <c:pt idx="8">
                  <c:v>0.00267492813795745</c:v>
                </c:pt>
                <c:pt idx="9">
                  <c:v>0.00234012149880902</c:v>
                </c:pt>
                <c:pt idx="10">
                  <c:v>0.00201576483298161</c:v>
                </c:pt>
                <c:pt idx="11">
                  <c:v>0.0017189352683034</c:v>
                </c:pt>
                <c:pt idx="12">
                  <c:v>0.00144662100936384</c:v>
                </c:pt>
                <c:pt idx="13">
                  <c:v>0.00119650601542893</c:v>
                </c:pt>
                <c:pt idx="14">
                  <c:v>0.00096956265121475</c:v>
                </c:pt>
                <c:pt idx="15">
                  <c:v>0.000766451591534411</c:v>
                </c:pt>
                <c:pt idx="16">
                  <c:v>0.000587552303790928</c:v>
                </c:pt>
                <c:pt idx="17">
                  <c:v>0.000432998392609621</c:v>
                </c:pt>
                <c:pt idx="18">
                  <c:v>0.000302707832858199</c:v>
                </c:pt>
                <c:pt idx="19">
                  <c:v>0.00019641180795511</c:v>
                </c:pt>
                <c:pt idx="20">
                  <c:v>0.000113680220370826</c:v>
                </c:pt>
                <c:pt idx="21">
                  <c:v>5.39505559330789E-5</c:v>
                </c:pt>
                <c:pt idx="22">
                  <c:v>1.65452107161364E-5</c:v>
                </c:pt>
                <c:pt idx="23">
                  <c:v>6.93702991481157E-7</c:v>
                </c:pt>
                <c:pt idx="24">
                  <c:v>5.55094131523307E-6</c:v>
                </c:pt>
                <c:pt idx="25">
                  <c:v>3.02135715953562E-5</c:v>
                </c:pt>
                <c:pt idx="26">
                  <c:v>7.37345155281508E-5</c:v>
                </c:pt>
                <c:pt idx="27">
                  <c:v>0.000135135820572981</c:v>
                </c:pt>
                <c:pt idx="28">
                  <c:v>0.000213419945291689</c:v>
                </c:pt>
                <c:pt idx="29">
                  <c:v>0.00030757960433909</c:v>
                </c:pt>
                <c:pt idx="30">
                  <c:v>0.000416606295417556</c:v>
                </c:pt>
                <c:pt idx="31">
                  <c:v>0.000539497626727425</c:v>
                </c:pt>
                <c:pt idx="32">
                  <c:v>0.000675263558366325</c:v>
                </c:pt>
                <c:pt idx="33">
                  <c:v>0.000822931665161754</c:v>
                </c:pt>
                <c:pt idx="34">
                  <c:v>0.000981551521892664</c:v>
                </c:pt>
                <c:pt idx="35">
                  <c:v>0.00115019830502215</c:v>
                </c:pt>
                <c:pt idx="36">
                  <c:v>0.00132797569812638</c:v>
                </c:pt>
                <c:pt idx="37">
                  <c:v>0.00151401818131808</c:v>
                </c:pt>
                <c:pt idx="38">
                  <c:v>0.00170749277823998</c:v>
                </c:pt>
                <c:pt idx="39">
                  <c:v>0.00190760032772884</c:v>
                </c:pt>
                <c:pt idx="40">
                  <c:v>0.00211357634108269</c:v>
                </c:pt>
                <c:pt idx="41">
                  <c:v>0.00232469150004008</c:v>
                </c:pt>
              </c:numCache>
            </c:numRef>
          </c:yVal>
        </c:ser>
        <c:ser>
          <c:idx val="12"/>
          <c:order val="12"/>
          <c:tx>
            <c:v>Prism</c:v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'AR sim'!$A$78:$A$102</c:f>
              <c:numCache>
                <c:formatCode>General</c:formatCode>
                <c:ptCount val="25"/>
                <c:pt idx="0">
                  <c:v>1.089655172413793</c:v>
                </c:pt>
                <c:pt idx="1">
                  <c:v>1.127586206896552</c:v>
                </c:pt>
                <c:pt idx="2">
                  <c:v>1.16551724137931</c:v>
                </c:pt>
                <c:pt idx="3">
                  <c:v>1.203448275862069</c:v>
                </c:pt>
                <c:pt idx="4">
                  <c:v>1.241379310344827</c:v>
                </c:pt>
                <c:pt idx="5">
                  <c:v>1.279310344827586</c:v>
                </c:pt>
                <c:pt idx="6">
                  <c:v>1.317241379310345</c:v>
                </c:pt>
                <c:pt idx="7">
                  <c:v>1.355172413793103</c:v>
                </c:pt>
                <c:pt idx="8">
                  <c:v>1.393103448275862</c:v>
                </c:pt>
                <c:pt idx="9">
                  <c:v>1.43103448275862</c:v>
                </c:pt>
                <c:pt idx="10">
                  <c:v>1.468965517241379</c:v>
                </c:pt>
                <c:pt idx="11">
                  <c:v>1.506896551724137</c:v>
                </c:pt>
                <c:pt idx="12">
                  <c:v>1.544827586206896</c:v>
                </c:pt>
                <c:pt idx="13">
                  <c:v>1.582758620689655</c:v>
                </c:pt>
                <c:pt idx="14">
                  <c:v>1.620689655172413</c:v>
                </c:pt>
                <c:pt idx="15">
                  <c:v>1.658620689655172</c:v>
                </c:pt>
                <c:pt idx="16">
                  <c:v>1.69655172413793</c:v>
                </c:pt>
                <c:pt idx="17">
                  <c:v>1.734482758620689</c:v>
                </c:pt>
                <c:pt idx="18">
                  <c:v>1.772413793103448</c:v>
                </c:pt>
                <c:pt idx="19">
                  <c:v>1.810344827586206</c:v>
                </c:pt>
                <c:pt idx="20">
                  <c:v>1.848275862068965</c:v>
                </c:pt>
                <c:pt idx="21">
                  <c:v>1.886206896551723</c:v>
                </c:pt>
                <c:pt idx="22">
                  <c:v>1.924137931034482</c:v>
                </c:pt>
                <c:pt idx="23">
                  <c:v>1.96206896551724</c:v>
                </c:pt>
                <c:pt idx="24">
                  <c:v>2.0</c:v>
                </c:pt>
              </c:numCache>
            </c:numRef>
          </c:xVal>
          <c:yVal>
            <c:numRef>
              <c:f>'AR sim'!$D$78:$D$102</c:f>
              <c:numCache>
                <c:formatCode>General</c:formatCode>
                <c:ptCount val="25"/>
                <c:pt idx="0">
                  <c:v>0.978656984736344</c:v>
                </c:pt>
                <c:pt idx="1">
                  <c:v>0.979984178298809</c:v>
                </c:pt>
                <c:pt idx="2">
                  <c:v>0.981312271180143</c:v>
                </c:pt>
                <c:pt idx="3">
                  <c:v>0.982641263380345</c:v>
                </c:pt>
                <c:pt idx="4">
                  <c:v>0.983971154899415</c:v>
                </c:pt>
                <c:pt idx="5">
                  <c:v>0.981312271180143</c:v>
                </c:pt>
                <c:pt idx="6">
                  <c:v>0.978656984736344</c:v>
                </c:pt>
                <c:pt idx="7">
                  <c:v>0.976005295568019</c:v>
                </c:pt>
                <c:pt idx="8">
                  <c:v>0.973357203675168</c:v>
                </c:pt>
                <c:pt idx="9">
                  <c:v>0.970712709057791</c:v>
                </c:pt>
                <c:pt idx="10">
                  <c:v>0.968071811715887</c:v>
                </c:pt>
                <c:pt idx="11">
                  <c:v>0.970712709057791</c:v>
                </c:pt>
                <c:pt idx="12">
                  <c:v>0.973357203675168</c:v>
                </c:pt>
                <c:pt idx="13">
                  <c:v>0.976005295568019</c:v>
                </c:pt>
                <c:pt idx="14">
                  <c:v>0.978656984736344</c:v>
                </c:pt>
                <c:pt idx="15">
                  <c:v>0.981312271180143</c:v>
                </c:pt>
                <c:pt idx="16">
                  <c:v>0.983971154899415</c:v>
                </c:pt>
                <c:pt idx="17">
                  <c:v>0.982641263380345</c:v>
                </c:pt>
                <c:pt idx="18">
                  <c:v>0.981312271180143</c:v>
                </c:pt>
                <c:pt idx="19">
                  <c:v>0.979984178298809</c:v>
                </c:pt>
                <c:pt idx="20">
                  <c:v>0.978656984736344</c:v>
                </c:pt>
                <c:pt idx="21">
                  <c:v>0.970712709057791</c:v>
                </c:pt>
                <c:pt idx="22">
                  <c:v>0.962800808858502</c:v>
                </c:pt>
                <c:pt idx="23">
                  <c:v>0.954921284138477</c:v>
                </c:pt>
                <c:pt idx="24">
                  <c:v>0.954921284138477</c:v>
                </c:pt>
              </c:numCache>
            </c:numRef>
          </c:yVal>
        </c:ser>
        <c:dLbls/>
        <c:axId val="593825512"/>
        <c:axId val="593832200"/>
      </c:scatterChart>
      <c:valAx>
        <c:axId val="593825512"/>
        <c:scaling>
          <c:orientation val="minMax"/>
          <c:max val="2.0"/>
          <c:min val="1.1"/>
        </c:scaling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30196671792671"/>
              <c:y val="0.9157932753365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832200"/>
        <c:crosses val="autoZero"/>
        <c:crossBetween val="midCat"/>
      </c:valAx>
      <c:valAx>
        <c:axId val="593832200"/>
        <c:scaling>
          <c:orientation val="minMax"/>
          <c:max val="1.0"/>
          <c:min val="0.0"/>
        </c:scaling>
        <c:axPos val="l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Absolute Efficiency</a:t>
                </a:r>
              </a:p>
            </c:rich>
          </c:tx>
          <c:layout>
            <c:manualLayout>
              <c:xMode val="edge"/>
              <c:yMode val="edge"/>
              <c:x val="0.00517063342784222"/>
              <c:y val="0.23737432275470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3825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828913034122"/>
          <c:y val="0.436419968673272"/>
          <c:w val="0.52182156566244"/>
          <c:h val="0.2208380958428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6437818868147"/>
          <c:y val="0.0968811534353001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'Y106'!$L$12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'Y106'!$A$13:$A$53</c:f>
              <c:numCache>
                <c:formatCode>0.0000</c:formatCode>
                <c:ptCount val="41"/>
                <c:pt idx="0" formatCode="General">
                  <c:v>0.927142857142857</c:v>
                </c:pt>
                <c:pt idx="1">
                  <c:v>0.933603782976605</c:v>
                </c:pt>
                <c:pt idx="2">
                  <c:v>0.940064708810353</c:v>
                </c:pt>
                <c:pt idx="3">
                  <c:v>0.946525634644102</c:v>
                </c:pt>
                <c:pt idx="4">
                  <c:v>0.95298656047785</c:v>
                </c:pt>
                <c:pt idx="5">
                  <c:v>0.959447486311598</c:v>
                </c:pt>
                <c:pt idx="6">
                  <c:v>0.965908412145346</c:v>
                </c:pt>
                <c:pt idx="7">
                  <c:v>0.972369337979094</c:v>
                </c:pt>
                <c:pt idx="8">
                  <c:v>0.978830263812842</c:v>
                </c:pt>
                <c:pt idx="9">
                  <c:v>0.98529118964659</c:v>
                </c:pt>
                <c:pt idx="10">
                  <c:v>0.991752115480338</c:v>
                </c:pt>
                <c:pt idx="11">
                  <c:v>0.998213041314087</c:v>
                </c:pt>
                <c:pt idx="12">
                  <c:v>1.004673967147835</c:v>
                </c:pt>
                <c:pt idx="13">
                  <c:v>1.011134892981583</c:v>
                </c:pt>
                <c:pt idx="14">
                  <c:v>1.017595818815331</c:v>
                </c:pt>
                <c:pt idx="15">
                  <c:v>1.02405674464908</c:v>
                </c:pt>
                <c:pt idx="16">
                  <c:v>1.030517670482828</c:v>
                </c:pt>
                <c:pt idx="17">
                  <c:v>1.036978596316576</c:v>
                </c:pt>
                <c:pt idx="18">
                  <c:v>1.043439522150324</c:v>
                </c:pt>
                <c:pt idx="19">
                  <c:v>1.049900447984073</c:v>
                </c:pt>
                <c:pt idx="20">
                  <c:v>1.056361373817821</c:v>
                </c:pt>
                <c:pt idx="21">
                  <c:v>1.06282229965157</c:v>
                </c:pt>
                <c:pt idx="22">
                  <c:v>1.069283225485317</c:v>
                </c:pt>
                <c:pt idx="23">
                  <c:v>1.075744151319066</c:v>
                </c:pt>
                <c:pt idx="24">
                  <c:v>1.082205077152814</c:v>
                </c:pt>
                <c:pt idx="25">
                  <c:v>1.088666002986562</c:v>
                </c:pt>
                <c:pt idx="26">
                  <c:v>1.09512692882031</c:v>
                </c:pt>
                <c:pt idx="27">
                  <c:v>1.101587854654059</c:v>
                </c:pt>
                <c:pt idx="28">
                  <c:v>1.108048780487807</c:v>
                </c:pt>
                <c:pt idx="29">
                  <c:v>1.114509706321555</c:v>
                </c:pt>
                <c:pt idx="30">
                  <c:v>1.120970632155303</c:v>
                </c:pt>
                <c:pt idx="31">
                  <c:v>1.127431557989051</c:v>
                </c:pt>
                <c:pt idx="32">
                  <c:v>1.1338924838228</c:v>
                </c:pt>
                <c:pt idx="33">
                  <c:v>1.140353409656548</c:v>
                </c:pt>
                <c:pt idx="34">
                  <c:v>1.146814335490296</c:v>
                </c:pt>
                <c:pt idx="35">
                  <c:v>1.153275261324044</c:v>
                </c:pt>
                <c:pt idx="36">
                  <c:v>1.159736187157793</c:v>
                </c:pt>
                <c:pt idx="37">
                  <c:v>1.166197112991541</c:v>
                </c:pt>
                <c:pt idx="38">
                  <c:v>1.17265803882529</c:v>
                </c:pt>
                <c:pt idx="39">
                  <c:v>1.179118964659037</c:v>
                </c:pt>
                <c:pt idx="40">
                  <c:v>1.185579890492786</c:v>
                </c:pt>
              </c:numCache>
            </c:numRef>
          </c:xVal>
          <c:yVal>
            <c:numRef>
              <c:f>'Y106'!$L$13:$L$53</c:f>
              <c:numCache>
                <c:formatCode>0.000</c:formatCode>
                <c:ptCount val="41"/>
                <c:pt idx="0">
                  <c:v>0.708391159866963</c:v>
                </c:pt>
                <c:pt idx="1">
                  <c:v>1.221878934270791</c:v>
                </c:pt>
                <c:pt idx="2">
                  <c:v>1.734194277712356</c:v>
                </c:pt>
                <c:pt idx="3">
                  <c:v>1.733092718186804</c:v>
                </c:pt>
                <c:pt idx="4">
                  <c:v>2.038012508733637</c:v>
                </c:pt>
                <c:pt idx="5">
                  <c:v>2.037289769141242</c:v>
                </c:pt>
                <c:pt idx="6">
                  <c:v>2.036768957625269</c:v>
                </c:pt>
                <c:pt idx="7">
                  <c:v>2.035928196396086</c:v>
                </c:pt>
                <c:pt idx="8">
                  <c:v>2.035088005459372</c:v>
                </c:pt>
                <c:pt idx="9">
                  <c:v>2.034213753435778</c:v>
                </c:pt>
                <c:pt idx="10">
                  <c:v>2.033463819752285</c:v>
                </c:pt>
                <c:pt idx="11">
                  <c:v>2.032907319628813</c:v>
                </c:pt>
                <c:pt idx="12">
                  <c:v>2.034623557345157</c:v>
                </c:pt>
                <c:pt idx="13">
                  <c:v>2.039917337763892</c:v>
                </c:pt>
                <c:pt idx="14">
                  <c:v>2.045619112656781</c:v>
                </c:pt>
                <c:pt idx="15">
                  <c:v>2.051422552020058</c:v>
                </c:pt>
                <c:pt idx="16">
                  <c:v>2.057161930654904</c:v>
                </c:pt>
                <c:pt idx="17">
                  <c:v>2.062739787457031</c:v>
                </c:pt>
                <c:pt idx="18">
                  <c:v>2.068589596324903</c:v>
                </c:pt>
                <c:pt idx="19">
                  <c:v>2.074986427565788</c:v>
                </c:pt>
                <c:pt idx="20">
                  <c:v>2.081391184220676</c:v>
                </c:pt>
                <c:pt idx="21">
                  <c:v>2.0877877173625</c:v>
                </c:pt>
                <c:pt idx="22">
                  <c:v>2.094359840710245</c:v>
                </c:pt>
                <c:pt idx="23">
                  <c:v>2.100944574768524</c:v>
                </c:pt>
                <c:pt idx="24">
                  <c:v>2.108791348731084</c:v>
                </c:pt>
                <c:pt idx="25">
                  <c:v>2.119973476490623</c:v>
                </c:pt>
                <c:pt idx="26">
                  <c:v>2.12722844232013</c:v>
                </c:pt>
                <c:pt idx="27">
                  <c:v>2.134689031094906</c:v>
                </c:pt>
                <c:pt idx="28">
                  <c:v>2.141697092743552</c:v>
                </c:pt>
                <c:pt idx="29">
                  <c:v>2.149437131927471</c:v>
                </c:pt>
                <c:pt idx="30">
                  <c:v>2.15760748192056</c:v>
                </c:pt>
                <c:pt idx="31">
                  <c:v>2.165706107748349</c:v>
                </c:pt>
                <c:pt idx="32">
                  <c:v>2.174009472200269</c:v>
                </c:pt>
                <c:pt idx="33">
                  <c:v>2.18219316506198</c:v>
                </c:pt>
                <c:pt idx="34">
                  <c:v>2.190016406667656</c:v>
                </c:pt>
                <c:pt idx="35">
                  <c:v>2.197920548654934</c:v>
                </c:pt>
                <c:pt idx="36">
                  <c:v>2.206041532390608</c:v>
                </c:pt>
                <c:pt idx="37">
                  <c:v>2.214353660669355</c:v>
                </c:pt>
                <c:pt idx="38">
                  <c:v>2.128641083284418</c:v>
                </c:pt>
                <c:pt idx="39">
                  <c:v>2.13656117135916</c:v>
                </c:pt>
                <c:pt idx="40">
                  <c:v>1.7063534781835</c:v>
                </c:pt>
              </c:numCache>
            </c:numRef>
          </c:yVal>
        </c:ser>
        <c:dLbls/>
        <c:axId val="567693992"/>
        <c:axId val="567700712"/>
      </c:scatterChart>
      <c:valAx>
        <c:axId val="567693992"/>
        <c:scaling>
          <c:orientation val="minMax"/>
          <c:min val="0.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700712"/>
        <c:crosses val="autoZero"/>
        <c:crossBetween val="midCat"/>
      </c:valAx>
      <c:valAx>
        <c:axId val="567700712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7693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6437818868147"/>
          <c:y val="0.0968811534353001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'J129'!$L$12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'J129'!$A$13:$A$53</c:f>
              <c:numCache>
                <c:formatCode>0.0000</c:formatCode>
                <c:ptCount val="41"/>
                <c:pt idx="0" formatCode="General">
                  <c:v>1.131044575725027</c:v>
                </c:pt>
                <c:pt idx="1">
                  <c:v>1.138926419458303</c:v>
                </c:pt>
                <c:pt idx="2">
                  <c:v>1.146808263191578</c:v>
                </c:pt>
                <c:pt idx="3">
                  <c:v>1.154690106924854</c:v>
                </c:pt>
                <c:pt idx="4">
                  <c:v>1.16257195065813</c:v>
                </c:pt>
                <c:pt idx="5">
                  <c:v>1.170453794391405</c:v>
                </c:pt>
                <c:pt idx="6">
                  <c:v>1.17833563812468</c:v>
                </c:pt>
                <c:pt idx="7">
                  <c:v>1.186217481857956</c:v>
                </c:pt>
                <c:pt idx="8">
                  <c:v>1.194099325591231</c:v>
                </c:pt>
                <c:pt idx="9">
                  <c:v>1.201981169324507</c:v>
                </c:pt>
                <c:pt idx="10">
                  <c:v>1.209863013057782</c:v>
                </c:pt>
                <c:pt idx="11">
                  <c:v>1.217744856791058</c:v>
                </c:pt>
                <c:pt idx="12">
                  <c:v>1.225626700524333</c:v>
                </c:pt>
                <c:pt idx="13">
                  <c:v>1.233508544257609</c:v>
                </c:pt>
                <c:pt idx="14">
                  <c:v>1.241390387990884</c:v>
                </c:pt>
                <c:pt idx="15">
                  <c:v>1.24927223172416</c:v>
                </c:pt>
                <c:pt idx="16">
                  <c:v>1.257154075457435</c:v>
                </c:pt>
                <c:pt idx="17">
                  <c:v>1.265035919190711</c:v>
                </c:pt>
                <c:pt idx="18">
                  <c:v>1.272917762923986</c:v>
                </c:pt>
                <c:pt idx="19">
                  <c:v>1.280799606657262</c:v>
                </c:pt>
                <c:pt idx="20">
                  <c:v>1.288681450390537</c:v>
                </c:pt>
                <c:pt idx="21">
                  <c:v>1.296563294123813</c:v>
                </c:pt>
                <c:pt idx="22">
                  <c:v>1.304445137857088</c:v>
                </c:pt>
                <c:pt idx="23">
                  <c:v>1.312326981590363</c:v>
                </c:pt>
                <c:pt idx="24">
                  <c:v>1.320208825323639</c:v>
                </c:pt>
                <c:pt idx="25">
                  <c:v>1.328090669056914</c:v>
                </c:pt>
                <c:pt idx="26">
                  <c:v>1.33597251279019</c:v>
                </c:pt>
                <c:pt idx="27">
                  <c:v>1.343854356523465</c:v>
                </c:pt>
                <c:pt idx="28">
                  <c:v>1.351736200256741</c:v>
                </c:pt>
                <c:pt idx="29">
                  <c:v>1.359618043990016</c:v>
                </c:pt>
                <c:pt idx="30">
                  <c:v>1.367499887723292</c:v>
                </c:pt>
                <c:pt idx="31">
                  <c:v>1.375381731456567</c:v>
                </c:pt>
                <c:pt idx="32">
                  <c:v>1.383263575189843</c:v>
                </c:pt>
                <c:pt idx="33">
                  <c:v>1.391145418923118</c:v>
                </c:pt>
                <c:pt idx="34">
                  <c:v>1.399027262656394</c:v>
                </c:pt>
                <c:pt idx="35">
                  <c:v>1.406909106389669</c:v>
                </c:pt>
                <c:pt idx="36">
                  <c:v>1.414790950122945</c:v>
                </c:pt>
                <c:pt idx="37">
                  <c:v>1.42267279385622</c:v>
                </c:pt>
                <c:pt idx="38">
                  <c:v>1.430554637589496</c:v>
                </c:pt>
                <c:pt idx="39">
                  <c:v>1.438436481322771</c:v>
                </c:pt>
                <c:pt idx="40">
                  <c:v>1.446318325056047</c:v>
                </c:pt>
              </c:numCache>
            </c:numRef>
          </c:xVal>
          <c:yVal>
            <c:numRef>
              <c:f>'J129'!$L$13:$L$53</c:f>
              <c:numCache>
                <c:formatCode>0.000</c:formatCode>
                <c:ptCount val="41"/>
                <c:pt idx="0">
                  <c:v>1.095372063227102</c:v>
                </c:pt>
                <c:pt idx="1">
                  <c:v>1.099638323198935</c:v>
                </c:pt>
                <c:pt idx="2">
                  <c:v>1.557244611252589</c:v>
                </c:pt>
                <c:pt idx="3">
                  <c:v>2.016519657755438</c:v>
                </c:pt>
                <c:pt idx="4">
                  <c:v>2.210326713306249</c:v>
                </c:pt>
                <c:pt idx="5">
                  <c:v>2.218499630716875</c:v>
                </c:pt>
                <c:pt idx="6">
                  <c:v>2.230815902119382</c:v>
                </c:pt>
                <c:pt idx="7">
                  <c:v>2.239521067606717</c:v>
                </c:pt>
                <c:pt idx="8">
                  <c:v>2.252025278888898</c:v>
                </c:pt>
                <c:pt idx="9">
                  <c:v>2.260121941803614</c:v>
                </c:pt>
                <c:pt idx="10">
                  <c:v>2.271808592593363</c:v>
                </c:pt>
                <c:pt idx="11">
                  <c:v>2.280534579020391</c:v>
                </c:pt>
                <c:pt idx="12">
                  <c:v>2.292831722146737</c:v>
                </c:pt>
                <c:pt idx="13">
                  <c:v>2.301535660035629</c:v>
                </c:pt>
                <c:pt idx="14">
                  <c:v>2.313600394574546</c:v>
                </c:pt>
                <c:pt idx="15">
                  <c:v>2.3218963650943</c:v>
                </c:pt>
                <c:pt idx="16">
                  <c:v>2.33405822364676</c:v>
                </c:pt>
                <c:pt idx="17">
                  <c:v>2.342400839538128</c:v>
                </c:pt>
                <c:pt idx="18">
                  <c:v>2.354550928833916</c:v>
                </c:pt>
                <c:pt idx="19">
                  <c:v>2.362778038298459</c:v>
                </c:pt>
                <c:pt idx="20">
                  <c:v>2.374263444207539</c:v>
                </c:pt>
                <c:pt idx="21">
                  <c:v>2.382207342675843</c:v>
                </c:pt>
                <c:pt idx="22">
                  <c:v>2.393614019884751</c:v>
                </c:pt>
                <c:pt idx="23">
                  <c:v>2.401368818457842</c:v>
                </c:pt>
                <c:pt idx="24">
                  <c:v>2.412615741531388</c:v>
                </c:pt>
                <c:pt idx="25">
                  <c:v>2.42027651186603</c:v>
                </c:pt>
                <c:pt idx="26">
                  <c:v>2.431055623664605</c:v>
                </c:pt>
                <c:pt idx="27">
                  <c:v>2.438647335637133</c:v>
                </c:pt>
                <c:pt idx="28">
                  <c:v>2.449261417180933</c:v>
                </c:pt>
                <c:pt idx="29">
                  <c:v>2.456286873632117</c:v>
                </c:pt>
                <c:pt idx="30">
                  <c:v>2.466120223538364</c:v>
                </c:pt>
                <c:pt idx="31">
                  <c:v>2.473709199331059</c:v>
                </c:pt>
                <c:pt idx="32">
                  <c:v>2.484049912240991</c:v>
                </c:pt>
                <c:pt idx="33">
                  <c:v>2.491686871863018</c:v>
                </c:pt>
                <c:pt idx="34">
                  <c:v>2.500060057581907</c:v>
                </c:pt>
                <c:pt idx="35">
                  <c:v>2.503989709850285</c:v>
                </c:pt>
                <c:pt idx="36">
                  <c:v>2.511913347427214</c:v>
                </c:pt>
                <c:pt idx="37">
                  <c:v>2.519958372881347</c:v>
                </c:pt>
                <c:pt idx="38">
                  <c:v>2.315692626313757</c:v>
                </c:pt>
                <c:pt idx="39">
                  <c:v>2.322844131283496</c:v>
                </c:pt>
                <c:pt idx="40">
                  <c:v>1.921899118061155</c:v>
                </c:pt>
              </c:numCache>
            </c:numRef>
          </c:yVal>
        </c:ser>
        <c:dLbls/>
        <c:axId val="567844968"/>
        <c:axId val="567851688"/>
      </c:scatterChart>
      <c:valAx>
        <c:axId val="567844968"/>
        <c:scaling>
          <c:orientation val="minMax"/>
          <c:min val="0.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851688"/>
        <c:crosses val="autoZero"/>
        <c:crossBetween val="midCat"/>
      </c:valAx>
      <c:valAx>
        <c:axId val="567851688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7844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6437818868147"/>
          <c:y val="0.0968811534353001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'W149'!$L$12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'W149'!$A$13:$A$53</c:f>
              <c:numCache>
                <c:formatCode>0.0000</c:formatCode>
                <c:ptCount val="41"/>
                <c:pt idx="0" formatCode="General">
                  <c:v>0.927142857142857</c:v>
                </c:pt>
                <c:pt idx="1">
                  <c:v>0.953310104529617</c:v>
                </c:pt>
                <c:pt idx="2">
                  <c:v>0.979477351916376</c:v>
                </c:pt>
                <c:pt idx="3">
                  <c:v>1.005644599303136</c:v>
                </c:pt>
                <c:pt idx="4">
                  <c:v>1.031811846689896</c:v>
                </c:pt>
                <c:pt idx="5">
                  <c:v>1.057979094076655</c:v>
                </c:pt>
                <c:pt idx="6">
                  <c:v>1.084146341463415</c:v>
                </c:pt>
                <c:pt idx="7">
                  <c:v>1.110313588850174</c:v>
                </c:pt>
                <c:pt idx="8">
                  <c:v>1.136480836236934</c:v>
                </c:pt>
                <c:pt idx="9">
                  <c:v>1.162648083623693</c:v>
                </c:pt>
                <c:pt idx="10">
                  <c:v>1.188815331010453</c:v>
                </c:pt>
                <c:pt idx="11">
                  <c:v>1.214982578397213</c:v>
                </c:pt>
                <c:pt idx="12">
                  <c:v>1.241149825783972</c:v>
                </c:pt>
                <c:pt idx="13">
                  <c:v>1.267317073170732</c:v>
                </c:pt>
                <c:pt idx="14">
                  <c:v>1.293484320557491</c:v>
                </c:pt>
                <c:pt idx="15">
                  <c:v>1.319651567944251</c:v>
                </c:pt>
                <c:pt idx="16">
                  <c:v>1.34581881533101</c:v>
                </c:pt>
                <c:pt idx="17">
                  <c:v>1.37198606271777</c:v>
                </c:pt>
                <c:pt idx="18">
                  <c:v>1.39815331010453</c:v>
                </c:pt>
                <c:pt idx="19">
                  <c:v>1.424320557491289</c:v>
                </c:pt>
                <c:pt idx="20">
                  <c:v>1.450487804878049</c:v>
                </c:pt>
                <c:pt idx="21">
                  <c:v>1.476655052264808</c:v>
                </c:pt>
                <c:pt idx="22">
                  <c:v>1.502822299651568</c:v>
                </c:pt>
                <c:pt idx="23">
                  <c:v>1.528989547038327</c:v>
                </c:pt>
                <c:pt idx="24">
                  <c:v>1.555156794425087</c:v>
                </c:pt>
                <c:pt idx="25">
                  <c:v>1.581324041811847</c:v>
                </c:pt>
                <c:pt idx="26">
                  <c:v>1.607491289198606</c:v>
                </c:pt>
                <c:pt idx="27">
                  <c:v>1.633658536585366</c:v>
                </c:pt>
                <c:pt idx="28">
                  <c:v>1.659825783972125</c:v>
                </c:pt>
                <c:pt idx="29">
                  <c:v>1.685993031358885</c:v>
                </c:pt>
                <c:pt idx="30">
                  <c:v>1.712160278745644</c:v>
                </c:pt>
                <c:pt idx="31">
                  <c:v>1.738327526132404</c:v>
                </c:pt>
                <c:pt idx="32">
                  <c:v>1.764494773519164</c:v>
                </c:pt>
                <c:pt idx="33">
                  <c:v>1.790662020905923</c:v>
                </c:pt>
                <c:pt idx="34">
                  <c:v>1.816829268292683</c:v>
                </c:pt>
                <c:pt idx="35">
                  <c:v>1.842996515679442</c:v>
                </c:pt>
                <c:pt idx="36">
                  <c:v>1.869163763066202</c:v>
                </c:pt>
                <c:pt idx="37">
                  <c:v>1.895331010452961</c:v>
                </c:pt>
                <c:pt idx="38">
                  <c:v>1.921498257839721</c:v>
                </c:pt>
                <c:pt idx="39">
                  <c:v>1.947665505226481</c:v>
                </c:pt>
                <c:pt idx="40">
                  <c:v>1.97383275261324</c:v>
                </c:pt>
              </c:numCache>
            </c:numRef>
          </c:xVal>
          <c:yVal>
            <c:numRef>
              <c:f>'W149'!$L$13:$L$53</c:f>
              <c:numCache>
                <c:formatCode>0.000</c:formatCode>
                <c:ptCount val="41"/>
                <c:pt idx="0">
                  <c:v>0.67340456103417</c:v>
                </c:pt>
                <c:pt idx="1">
                  <c:v>1.937357489164128</c:v>
                </c:pt>
                <c:pt idx="2">
                  <c:v>1.934577423636462</c:v>
                </c:pt>
                <c:pt idx="3">
                  <c:v>1.93413591406351</c:v>
                </c:pt>
                <c:pt idx="4">
                  <c:v>1.958425740249945</c:v>
                </c:pt>
                <c:pt idx="5">
                  <c:v>1.981702294158928</c:v>
                </c:pt>
                <c:pt idx="6">
                  <c:v>2.008255758257065</c:v>
                </c:pt>
                <c:pt idx="7">
                  <c:v>2.036020480209255</c:v>
                </c:pt>
                <c:pt idx="8">
                  <c:v>2.070785442263341</c:v>
                </c:pt>
                <c:pt idx="9">
                  <c:v>2.101161299635117</c:v>
                </c:pt>
                <c:pt idx="10">
                  <c:v>2.132748007148606</c:v>
                </c:pt>
                <c:pt idx="11">
                  <c:v>2.16419796059995</c:v>
                </c:pt>
                <c:pt idx="12">
                  <c:v>2.199334416326636</c:v>
                </c:pt>
                <c:pt idx="13">
                  <c:v>2.230535205862156</c:v>
                </c:pt>
                <c:pt idx="14">
                  <c:v>2.2607012605147</c:v>
                </c:pt>
                <c:pt idx="15">
                  <c:v>2.293064720366103</c:v>
                </c:pt>
                <c:pt idx="16">
                  <c:v>2.321379299510461</c:v>
                </c:pt>
                <c:pt idx="17">
                  <c:v>2.347742880564166</c:v>
                </c:pt>
                <c:pt idx="18">
                  <c:v>2.373954350452421</c:v>
                </c:pt>
                <c:pt idx="19">
                  <c:v>2.39910653948002</c:v>
                </c:pt>
                <c:pt idx="20">
                  <c:v>2.425695627824536</c:v>
                </c:pt>
                <c:pt idx="21">
                  <c:v>2.447259241217443</c:v>
                </c:pt>
                <c:pt idx="22">
                  <c:v>2.464910480955702</c:v>
                </c:pt>
                <c:pt idx="23">
                  <c:v>2.483914712288236</c:v>
                </c:pt>
                <c:pt idx="24">
                  <c:v>2.50029949897509</c:v>
                </c:pt>
                <c:pt idx="25">
                  <c:v>2.514378234308033</c:v>
                </c:pt>
                <c:pt idx="26">
                  <c:v>2.529198824100512</c:v>
                </c:pt>
                <c:pt idx="27">
                  <c:v>2.542757252453377</c:v>
                </c:pt>
                <c:pt idx="28">
                  <c:v>2.553639865847603</c:v>
                </c:pt>
                <c:pt idx="29">
                  <c:v>2.564719154334616</c:v>
                </c:pt>
                <c:pt idx="30">
                  <c:v>2.576116335155471</c:v>
                </c:pt>
                <c:pt idx="31">
                  <c:v>2.584785285068615</c:v>
                </c:pt>
                <c:pt idx="32">
                  <c:v>2.593484378918896</c:v>
                </c:pt>
                <c:pt idx="33">
                  <c:v>2.600284627053678</c:v>
                </c:pt>
                <c:pt idx="34">
                  <c:v>2.601198553566658</c:v>
                </c:pt>
                <c:pt idx="35">
                  <c:v>2.606036706062696</c:v>
                </c:pt>
                <c:pt idx="36">
                  <c:v>2.61138799699932</c:v>
                </c:pt>
                <c:pt idx="37">
                  <c:v>2.614821177293148</c:v>
                </c:pt>
                <c:pt idx="38">
                  <c:v>2.619971159878129</c:v>
                </c:pt>
                <c:pt idx="39">
                  <c:v>2.629508129091663</c:v>
                </c:pt>
                <c:pt idx="40">
                  <c:v>2.311571055282391</c:v>
                </c:pt>
              </c:numCache>
            </c:numRef>
          </c:yVal>
        </c:ser>
        <c:dLbls/>
        <c:axId val="567997272"/>
        <c:axId val="568003992"/>
      </c:scatterChart>
      <c:valAx>
        <c:axId val="567997272"/>
        <c:scaling>
          <c:orientation val="minMax"/>
          <c:min val="0.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003992"/>
        <c:crosses val="autoZero"/>
        <c:crossBetween val="midCat"/>
      </c:valAx>
      <c:valAx>
        <c:axId val="568003992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7997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6437818868147"/>
          <c:y val="0.0968811534353001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'H158'!$L$12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'H158'!$A$13:$A$53</c:f>
              <c:numCache>
                <c:formatCode>0.0000</c:formatCode>
                <c:ptCount val="41"/>
                <c:pt idx="0" formatCode="General">
                  <c:v>1.37978934143899</c:v>
                </c:pt>
                <c:pt idx="1">
                  <c:v>1.389404598173756</c:v>
                </c:pt>
                <c:pt idx="2">
                  <c:v>1.399019854908523</c:v>
                </c:pt>
                <c:pt idx="3">
                  <c:v>1.408635111643289</c:v>
                </c:pt>
                <c:pt idx="4">
                  <c:v>1.418250368378056</c:v>
                </c:pt>
                <c:pt idx="5">
                  <c:v>1.427865625112822</c:v>
                </c:pt>
                <c:pt idx="6">
                  <c:v>1.437480881847589</c:v>
                </c:pt>
                <c:pt idx="7">
                  <c:v>1.447096138582355</c:v>
                </c:pt>
                <c:pt idx="8">
                  <c:v>1.456711395317122</c:v>
                </c:pt>
                <c:pt idx="9">
                  <c:v>1.466326652051888</c:v>
                </c:pt>
                <c:pt idx="10">
                  <c:v>1.475941908786655</c:v>
                </c:pt>
                <c:pt idx="11">
                  <c:v>1.485557165521421</c:v>
                </c:pt>
                <c:pt idx="12">
                  <c:v>1.495172422256188</c:v>
                </c:pt>
                <c:pt idx="13">
                  <c:v>1.504787678990954</c:v>
                </c:pt>
                <c:pt idx="14">
                  <c:v>1.514402935725721</c:v>
                </c:pt>
                <c:pt idx="15">
                  <c:v>1.524018192460487</c:v>
                </c:pt>
                <c:pt idx="16">
                  <c:v>1.533633449195254</c:v>
                </c:pt>
                <c:pt idx="17">
                  <c:v>1.54324870593002</c:v>
                </c:pt>
                <c:pt idx="18">
                  <c:v>1.552863962664787</c:v>
                </c:pt>
                <c:pt idx="19">
                  <c:v>1.562479219399553</c:v>
                </c:pt>
                <c:pt idx="20">
                  <c:v>1.57209447613432</c:v>
                </c:pt>
                <c:pt idx="21">
                  <c:v>1.581709732869086</c:v>
                </c:pt>
                <c:pt idx="22">
                  <c:v>1.591324989603853</c:v>
                </c:pt>
                <c:pt idx="23">
                  <c:v>1.600940246338619</c:v>
                </c:pt>
                <c:pt idx="24">
                  <c:v>1.610555503073385</c:v>
                </c:pt>
                <c:pt idx="25">
                  <c:v>1.620170759808152</c:v>
                </c:pt>
                <c:pt idx="26">
                  <c:v>1.629786016542918</c:v>
                </c:pt>
                <c:pt idx="27">
                  <c:v>1.639401273277685</c:v>
                </c:pt>
                <c:pt idx="28">
                  <c:v>1.649016530012451</c:v>
                </c:pt>
                <c:pt idx="29">
                  <c:v>1.658631786747218</c:v>
                </c:pt>
                <c:pt idx="30">
                  <c:v>1.668247043481984</c:v>
                </c:pt>
                <c:pt idx="31">
                  <c:v>1.677862300216751</c:v>
                </c:pt>
                <c:pt idx="32">
                  <c:v>1.687477556951517</c:v>
                </c:pt>
                <c:pt idx="33">
                  <c:v>1.697092813686284</c:v>
                </c:pt>
                <c:pt idx="34">
                  <c:v>1.70670807042105</c:v>
                </c:pt>
                <c:pt idx="35">
                  <c:v>1.716323327155817</c:v>
                </c:pt>
                <c:pt idx="36">
                  <c:v>1.725938583890583</c:v>
                </c:pt>
                <c:pt idx="37">
                  <c:v>1.73555384062535</c:v>
                </c:pt>
                <c:pt idx="38">
                  <c:v>1.745169097360116</c:v>
                </c:pt>
                <c:pt idx="39">
                  <c:v>1.754784354094883</c:v>
                </c:pt>
                <c:pt idx="40">
                  <c:v>1.764399610829649</c:v>
                </c:pt>
              </c:numCache>
            </c:numRef>
          </c:xVal>
          <c:yVal>
            <c:numRef>
              <c:f>'H158'!$L$13:$L$53</c:f>
              <c:numCache>
                <c:formatCode>0.000</c:formatCode>
                <c:ptCount val="41"/>
                <c:pt idx="0">
                  <c:v>0.894865042840613</c:v>
                </c:pt>
                <c:pt idx="1">
                  <c:v>1.320096864199601</c:v>
                </c:pt>
                <c:pt idx="2">
                  <c:v>1.747507312237093</c:v>
                </c:pt>
                <c:pt idx="3">
                  <c:v>2.175935155656368</c:v>
                </c:pt>
                <c:pt idx="4">
                  <c:v>2.515760636762826</c:v>
                </c:pt>
                <c:pt idx="5">
                  <c:v>2.527161847536637</c:v>
                </c:pt>
                <c:pt idx="6">
                  <c:v>2.539180390487397</c:v>
                </c:pt>
                <c:pt idx="7">
                  <c:v>2.548382682638401</c:v>
                </c:pt>
                <c:pt idx="8">
                  <c:v>2.557916974349598</c:v>
                </c:pt>
                <c:pt idx="9">
                  <c:v>2.566916909824575</c:v>
                </c:pt>
                <c:pt idx="10">
                  <c:v>2.574164694823154</c:v>
                </c:pt>
                <c:pt idx="11">
                  <c:v>2.581702431359763</c:v>
                </c:pt>
                <c:pt idx="12">
                  <c:v>2.588595584893985</c:v>
                </c:pt>
                <c:pt idx="13">
                  <c:v>2.595058558214484</c:v>
                </c:pt>
                <c:pt idx="14">
                  <c:v>2.601737255886576</c:v>
                </c:pt>
                <c:pt idx="15">
                  <c:v>2.608739334644764</c:v>
                </c:pt>
                <c:pt idx="16">
                  <c:v>2.615429569445537</c:v>
                </c:pt>
                <c:pt idx="17">
                  <c:v>2.622004178104505</c:v>
                </c:pt>
                <c:pt idx="18">
                  <c:v>2.628414954161068</c:v>
                </c:pt>
                <c:pt idx="19">
                  <c:v>2.63469133755987</c:v>
                </c:pt>
                <c:pt idx="20">
                  <c:v>2.640050016292203</c:v>
                </c:pt>
                <c:pt idx="21">
                  <c:v>2.645012250897617</c:v>
                </c:pt>
                <c:pt idx="22">
                  <c:v>2.650669050558589</c:v>
                </c:pt>
                <c:pt idx="23">
                  <c:v>2.657284938106251</c:v>
                </c:pt>
                <c:pt idx="24">
                  <c:v>2.662439169078511</c:v>
                </c:pt>
                <c:pt idx="25">
                  <c:v>2.667009928388821</c:v>
                </c:pt>
                <c:pt idx="26">
                  <c:v>2.673443490592842</c:v>
                </c:pt>
                <c:pt idx="27">
                  <c:v>2.677610649894364</c:v>
                </c:pt>
                <c:pt idx="28">
                  <c:v>2.681526721401852</c:v>
                </c:pt>
                <c:pt idx="29">
                  <c:v>2.686313712624981</c:v>
                </c:pt>
                <c:pt idx="30">
                  <c:v>2.691089571652534</c:v>
                </c:pt>
                <c:pt idx="31">
                  <c:v>2.695382769784182</c:v>
                </c:pt>
                <c:pt idx="32">
                  <c:v>2.699176905593556</c:v>
                </c:pt>
                <c:pt idx="33">
                  <c:v>2.70310562707741</c:v>
                </c:pt>
                <c:pt idx="34">
                  <c:v>2.707457872044641</c:v>
                </c:pt>
                <c:pt idx="35">
                  <c:v>2.711297452456585</c:v>
                </c:pt>
                <c:pt idx="36">
                  <c:v>2.714477361026689</c:v>
                </c:pt>
                <c:pt idx="37">
                  <c:v>2.717742329414743</c:v>
                </c:pt>
                <c:pt idx="38">
                  <c:v>2.649831961729784</c:v>
                </c:pt>
                <c:pt idx="39">
                  <c:v>2.295116349209373</c:v>
                </c:pt>
                <c:pt idx="40">
                  <c:v>1.938818462758874</c:v>
                </c:pt>
              </c:numCache>
            </c:numRef>
          </c:yVal>
        </c:ser>
        <c:dLbls/>
        <c:axId val="568147112"/>
        <c:axId val="568153832"/>
      </c:scatterChart>
      <c:valAx>
        <c:axId val="568147112"/>
        <c:scaling>
          <c:orientation val="minMax"/>
          <c:min val="1.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153832"/>
        <c:crosses val="autoZero"/>
        <c:crossBetween val="midCat"/>
      </c:valAx>
      <c:valAx>
        <c:axId val="568153832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8147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6437818868147"/>
          <c:y val="0.0968811534353001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'F184'!$L$12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'F184'!$A$13:$A$53</c:f>
              <c:numCache>
                <c:formatCode>0.0000</c:formatCode>
                <c:ptCount val="41"/>
                <c:pt idx="0" formatCode="General">
                  <c:v>1.683239252996061</c:v>
                </c:pt>
                <c:pt idx="1">
                  <c:v>1.690965124874206</c:v>
                </c:pt>
                <c:pt idx="2">
                  <c:v>1.69869099675235</c:v>
                </c:pt>
                <c:pt idx="3">
                  <c:v>1.706416868630495</c:v>
                </c:pt>
                <c:pt idx="4">
                  <c:v>1.71414274050864</c:v>
                </c:pt>
                <c:pt idx="5">
                  <c:v>1.721868612386785</c:v>
                </c:pt>
                <c:pt idx="6">
                  <c:v>1.729594484264929</c:v>
                </c:pt>
                <c:pt idx="7">
                  <c:v>1.737320356143074</c:v>
                </c:pt>
                <c:pt idx="8">
                  <c:v>1.74504622802122</c:v>
                </c:pt>
                <c:pt idx="9">
                  <c:v>1.752772099899364</c:v>
                </c:pt>
                <c:pt idx="10">
                  <c:v>1.760497971777509</c:v>
                </c:pt>
                <c:pt idx="11">
                  <c:v>1.768223843655653</c:v>
                </c:pt>
                <c:pt idx="12">
                  <c:v>1.775949715533798</c:v>
                </c:pt>
                <c:pt idx="13">
                  <c:v>1.783675587411943</c:v>
                </c:pt>
                <c:pt idx="14">
                  <c:v>1.791401459290088</c:v>
                </c:pt>
                <c:pt idx="15">
                  <c:v>1.799127331168232</c:v>
                </c:pt>
                <c:pt idx="16">
                  <c:v>1.806853203046377</c:v>
                </c:pt>
                <c:pt idx="17">
                  <c:v>1.814579074924522</c:v>
                </c:pt>
                <c:pt idx="18">
                  <c:v>1.822304946802667</c:v>
                </c:pt>
                <c:pt idx="19">
                  <c:v>1.830030818680812</c:v>
                </c:pt>
                <c:pt idx="20">
                  <c:v>1.837756690558956</c:v>
                </c:pt>
                <c:pt idx="21">
                  <c:v>1.845482562437101</c:v>
                </c:pt>
                <c:pt idx="22">
                  <c:v>1.853208434315246</c:v>
                </c:pt>
                <c:pt idx="23">
                  <c:v>1.860934306193391</c:v>
                </c:pt>
                <c:pt idx="24">
                  <c:v>1.868660178071535</c:v>
                </c:pt>
                <c:pt idx="25">
                  <c:v>1.87638604994968</c:v>
                </c:pt>
                <c:pt idx="26">
                  <c:v>1.884111921827825</c:v>
                </c:pt>
                <c:pt idx="27">
                  <c:v>1.89183779370597</c:v>
                </c:pt>
                <c:pt idx="28">
                  <c:v>1.899563665584115</c:v>
                </c:pt>
                <c:pt idx="29">
                  <c:v>1.907289537462259</c:v>
                </c:pt>
                <c:pt idx="30">
                  <c:v>1.915015409340404</c:v>
                </c:pt>
                <c:pt idx="31">
                  <c:v>1.922741281218549</c:v>
                </c:pt>
                <c:pt idx="32">
                  <c:v>1.930467153096694</c:v>
                </c:pt>
                <c:pt idx="33">
                  <c:v>1.938193024974838</c:v>
                </c:pt>
                <c:pt idx="34">
                  <c:v>1.945918896852983</c:v>
                </c:pt>
                <c:pt idx="35">
                  <c:v>1.953644768731128</c:v>
                </c:pt>
                <c:pt idx="36">
                  <c:v>1.961370640609273</c:v>
                </c:pt>
                <c:pt idx="37">
                  <c:v>1.969096512487418</c:v>
                </c:pt>
                <c:pt idx="38">
                  <c:v>1.976822384365562</c:v>
                </c:pt>
                <c:pt idx="39">
                  <c:v>1.984548256243707</c:v>
                </c:pt>
                <c:pt idx="40">
                  <c:v>1.992274128121852</c:v>
                </c:pt>
              </c:numCache>
            </c:numRef>
          </c:xVal>
          <c:yVal>
            <c:numRef>
              <c:f>'F184'!$L$13:$L$53</c:f>
              <c:numCache>
                <c:formatCode>0.000</c:formatCode>
                <c:ptCount val="41"/>
                <c:pt idx="0">
                  <c:v>1.234193908935441</c:v>
                </c:pt>
                <c:pt idx="1">
                  <c:v>1.591798682362965</c:v>
                </c:pt>
                <c:pt idx="2">
                  <c:v>1.593319556658574</c:v>
                </c:pt>
                <c:pt idx="3">
                  <c:v>1.952582996054666</c:v>
                </c:pt>
                <c:pt idx="4">
                  <c:v>2.311679090396754</c:v>
                </c:pt>
                <c:pt idx="5">
                  <c:v>2.579458588238457</c:v>
                </c:pt>
                <c:pt idx="6">
                  <c:v>2.581530270773796</c:v>
                </c:pt>
                <c:pt idx="7">
                  <c:v>2.583840847626222</c:v>
                </c:pt>
                <c:pt idx="8">
                  <c:v>2.586976981105373</c:v>
                </c:pt>
                <c:pt idx="9">
                  <c:v>2.589610196011221</c:v>
                </c:pt>
                <c:pt idx="10">
                  <c:v>2.592655430985024</c:v>
                </c:pt>
                <c:pt idx="11">
                  <c:v>2.594667948791813</c:v>
                </c:pt>
                <c:pt idx="12">
                  <c:v>2.59650413853356</c:v>
                </c:pt>
                <c:pt idx="13">
                  <c:v>2.598405563691222</c:v>
                </c:pt>
                <c:pt idx="14">
                  <c:v>2.600921847592872</c:v>
                </c:pt>
                <c:pt idx="15">
                  <c:v>2.60213329227902</c:v>
                </c:pt>
                <c:pt idx="16">
                  <c:v>2.601138308631282</c:v>
                </c:pt>
                <c:pt idx="17">
                  <c:v>2.600870755578714</c:v>
                </c:pt>
                <c:pt idx="18">
                  <c:v>2.602182475454693</c:v>
                </c:pt>
                <c:pt idx="19">
                  <c:v>2.603865864107239</c:v>
                </c:pt>
                <c:pt idx="20">
                  <c:v>2.605065711718378</c:v>
                </c:pt>
                <c:pt idx="21">
                  <c:v>2.606409705690138</c:v>
                </c:pt>
                <c:pt idx="22">
                  <c:v>2.607502667359168</c:v>
                </c:pt>
                <c:pt idx="23">
                  <c:v>2.609323738943908</c:v>
                </c:pt>
                <c:pt idx="24">
                  <c:v>2.61138799699932</c:v>
                </c:pt>
                <c:pt idx="25">
                  <c:v>2.613293691354622</c:v>
                </c:pt>
                <c:pt idx="26">
                  <c:v>2.614571089267343</c:v>
                </c:pt>
                <c:pt idx="27">
                  <c:v>2.614804920917155</c:v>
                </c:pt>
                <c:pt idx="28">
                  <c:v>2.615507229890941</c:v>
                </c:pt>
                <c:pt idx="29">
                  <c:v>2.616692616440209</c:v>
                </c:pt>
                <c:pt idx="30">
                  <c:v>2.618406336740277</c:v>
                </c:pt>
                <c:pt idx="31">
                  <c:v>2.620178465926406</c:v>
                </c:pt>
                <c:pt idx="32">
                  <c:v>2.621739274109576</c:v>
                </c:pt>
                <c:pt idx="33">
                  <c:v>2.624999206179376</c:v>
                </c:pt>
                <c:pt idx="34">
                  <c:v>2.628330411205724</c:v>
                </c:pt>
                <c:pt idx="35">
                  <c:v>2.633000349497215</c:v>
                </c:pt>
                <c:pt idx="36">
                  <c:v>2.61695822025851</c:v>
                </c:pt>
                <c:pt idx="37">
                  <c:v>2.618691850371444</c:v>
                </c:pt>
                <c:pt idx="38">
                  <c:v>2.312229993888996</c:v>
                </c:pt>
                <c:pt idx="39">
                  <c:v>2.004987336762835</c:v>
                </c:pt>
                <c:pt idx="40">
                  <c:v>1.697550741522029</c:v>
                </c:pt>
              </c:numCache>
            </c:numRef>
          </c:yVal>
        </c:ser>
        <c:dLbls/>
        <c:axId val="568304456"/>
        <c:axId val="568311176"/>
      </c:scatterChart>
      <c:valAx>
        <c:axId val="568304456"/>
        <c:scaling>
          <c:orientation val="minMax"/>
          <c:min val="1.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311176"/>
        <c:crosses val="autoZero"/>
        <c:crossBetween val="midCat"/>
      </c:valAx>
      <c:valAx>
        <c:axId val="568311176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8304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8331827654529"/>
          <c:y val="0.0762449192356817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GRS!$K$12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GRS!$A$13:$A$54</c:f>
              <c:numCache>
                <c:formatCode>0.0000</c:formatCode>
                <c:ptCount val="42"/>
                <c:pt idx="0" formatCode="General">
                  <c:v>1.35</c:v>
                </c:pt>
                <c:pt idx="1">
                  <c:v>1.364634146341463</c:v>
                </c:pt>
                <c:pt idx="2">
                  <c:v>1.379268292682927</c:v>
                </c:pt>
                <c:pt idx="3">
                  <c:v>1.39390243902439</c:v>
                </c:pt>
                <c:pt idx="4">
                  <c:v>1.408536585365854</c:v>
                </c:pt>
                <c:pt idx="5">
                  <c:v>1.423170731707317</c:v>
                </c:pt>
                <c:pt idx="6">
                  <c:v>1.437804878048781</c:v>
                </c:pt>
                <c:pt idx="7">
                  <c:v>1.452439024390244</c:v>
                </c:pt>
                <c:pt idx="8">
                  <c:v>1.467073170731707</c:v>
                </c:pt>
                <c:pt idx="9">
                  <c:v>1.481707317073171</c:v>
                </c:pt>
                <c:pt idx="10">
                  <c:v>1.496341463414634</c:v>
                </c:pt>
                <c:pt idx="11">
                  <c:v>1.510975609756098</c:v>
                </c:pt>
                <c:pt idx="12">
                  <c:v>1.525609756097561</c:v>
                </c:pt>
                <c:pt idx="13">
                  <c:v>1.540243902439025</c:v>
                </c:pt>
                <c:pt idx="14">
                  <c:v>1.554878048780488</c:v>
                </c:pt>
                <c:pt idx="15">
                  <c:v>1.569512195121951</c:v>
                </c:pt>
                <c:pt idx="16">
                  <c:v>1.584146341463415</c:v>
                </c:pt>
                <c:pt idx="17">
                  <c:v>1.598780487804878</c:v>
                </c:pt>
                <c:pt idx="18">
                  <c:v>1.613414634146342</c:v>
                </c:pt>
                <c:pt idx="19">
                  <c:v>1.628048780487805</c:v>
                </c:pt>
                <c:pt idx="20">
                  <c:v>1.642682926829269</c:v>
                </c:pt>
                <c:pt idx="21">
                  <c:v>1.657317073170732</c:v>
                </c:pt>
                <c:pt idx="22">
                  <c:v>1.671951219512195</c:v>
                </c:pt>
                <c:pt idx="23">
                  <c:v>1.686585365853659</c:v>
                </c:pt>
                <c:pt idx="24">
                  <c:v>1.701219512195122</c:v>
                </c:pt>
                <c:pt idx="25">
                  <c:v>1.715853658536586</c:v>
                </c:pt>
                <c:pt idx="26">
                  <c:v>1.73048780487805</c:v>
                </c:pt>
                <c:pt idx="27">
                  <c:v>1.745121951219513</c:v>
                </c:pt>
                <c:pt idx="28">
                  <c:v>1.759756097560976</c:v>
                </c:pt>
                <c:pt idx="29">
                  <c:v>1.774390243902439</c:v>
                </c:pt>
                <c:pt idx="30">
                  <c:v>1.789024390243903</c:v>
                </c:pt>
                <c:pt idx="31">
                  <c:v>1.803658536585366</c:v>
                </c:pt>
                <c:pt idx="32">
                  <c:v>1.81829268292683</c:v>
                </c:pt>
                <c:pt idx="33">
                  <c:v>1.832926829268293</c:v>
                </c:pt>
                <c:pt idx="34">
                  <c:v>1.847560975609757</c:v>
                </c:pt>
                <c:pt idx="35">
                  <c:v>1.86219512195122</c:v>
                </c:pt>
                <c:pt idx="36">
                  <c:v>1.876829268292683</c:v>
                </c:pt>
                <c:pt idx="37">
                  <c:v>1.891463414634147</c:v>
                </c:pt>
                <c:pt idx="38">
                  <c:v>1.90609756097561</c:v>
                </c:pt>
                <c:pt idx="39">
                  <c:v>1.920731707317074</c:v>
                </c:pt>
                <c:pt idx="40">
                  <c:v>1.935365853658537</c:v>
                </c:pt>
                <c:pt idx="41">
                  <c:v>1.950000000000001</c:v>
                </c:pt>
              </c:numCache>
            </c:numRef>
          </c:xVal>
          <c:yVal>
            <c:numRef>
              <c:f>GRS!$K$13:$K$54</c:f>
              <c:numCache>
                <c:formatCode>0.000</c:formatCode>
                <c:ptCount val="42"/>
                <c:pt idx="0">
                  <c:v>1.233071741142586</c:v>
                </c:pt>
                <c:pt idx="1">
                  <c:v>1.241512051966358</c:v>
                </c:pt>
                <c:pt idx="2">
                  <c:v>1.326662485383216</c:v>
                </c:pt>
                <c:pt idx="3">
                  <c:v>1.414153896045357</c:v>
                </c:pt>
                <c:pt idx="4">
                  <c:v>1.464842638776324</c:v>
                </c:pt>
                <c:pt idx="5">
                  <c:v>1.537515229554926</c:v>
                </c:pt>
                <c:pt idx="6">
                  <c:v>1.61297788709524</c:v>
                </c:pt>
                <c:pt idx="7">
                  <c:v>1.657524963597536</c:v>
                </c:pt>
                <c:pt idx="8">
                  <c:v>1.70390312034132</c:v>
                </c:pt>
                <c:pt idx="9">
                  <c:v>1.744215432167965</c:v>
                </c:pt>
                <c:pt idx="10">
                  <c:v>1.773806479277266</c:v>
                </c:pt>
                <c:pt idx="11">
                  <c:v>1.791029932236109</c:v>
                </c:pt>
                <c:pt idx="12">
                  <c:v>1.816550654522907</c:v>
                </c:pt>
                <c:pt idx="13">
                  <c:v>1.841016593730785</c:v>
                </c:pt>
                <c:pt idx="14">
                  <c:v>1.856132086735765</c:v>
                </c:pt>
                <c:pt idx="15">
                  <c:v>1.866601128885076</c:v>
                </c:pt>
                <c:pt idx="16">
                  <c:v>1.882285655119447</c:v>
                </c:pt>
                <c:pt idx="17">
                  <c:v>1.889052265107898</c:v>
                </c:pt>
                <c:pt idx="18">
                  <c:v>1.891198819885335</c:v>
                </c:pt>
                <c:pt idx="19">
                  <c:v>1.899111078008779</c:v>
                </c:pt>
                <c:pt idx="20">
                  <c:v>1.896282129671838</c:v>
                </c:pt>
                <c:pt idx="21">
                  <c:v>1.890853372383408</c:v>
                </c:pt>
                <c:pt idx="22">
                  <c:v>1.899279464464597</c:v>
                </c:pt>
                <c:pt idx="23">
                  <c:v>1.89716789905101</c:v>
                </c:pt>
                <c:pt idx="24">
                  <c:v>1.901076490382373</c:v>
                </c:pt>
                <c:pt idx="25">
                  <c:v>1.903340862857563</c:v>
                </c:pt>
                <c:pt idx="26">
                  <c:v>1.895267975528307</c:v>
                </c:pt>
                <c:pt idx="27">
                  <c:v>1.893828742599074</c:v>
                </c:pt>
                <c:pt idx="28">
                  <c:v>1.890993111361863</c:v>
                </c:pt>
                <c:pt idx="29">
                  <c:v>1.877945701123472</c:v>
                </c:pt>
                <c:pt idx="30">
                  <c:v>1.871607350056399</c:v>
                </c:pt>
                <c:pt idx="31">
                  <c:v>1.851274260369091</c:v>
                </c:pt>
                <c:pt idx="32">
                  <c:v>1.832294802678664</c:v>
                </c:pt>
                <c:pt idx="33">
                  <c:v>1.81129591679102</c:v>
                </c:pt>
                <c:pt idx="34">
                  <c:v>1.78917850353335</c:v>
                </c:pt>
                <c:pt idx="35">
                  <c:v>1.770298440645993</c:v>
                </c:pt>
                <c:pt idx="36">
                  <c:v>1.748111240770662</c:v>
                </c:pt>
                <c:pt idx="37">
                  <c:v>1.706682319106291</c:v>
                </c:pt>
                <c:pt idx="38">
                  <c:v>1.685532127459202</c:v>
                </c:pt>
                <c:pt idx="39">
                  <c:v>1.64529633482256</c:v>
                </c:pt>
                <c:pt idx="40">
                  <c:v>1.605723688212406</c:v>
                </c:pt>
                <c:pt idx="41">
                  <c:v>1.569517589714605</c:v>
                </c:pt>
              </c:numCache>
            </c:numRef>
          </c:yVal>
        </c:ser>
        <c:dLbls/>
        <c:axId val="575837576"/>
        <c:axId val="575844296"/>
      </c:scatterChart>
      <c:valAx>
        <c:axId val="575837576"/>
        <c:scaling>
          <c:orientation val="minMax"/>
          <c:max val="2.5"/>
          <c:min val="1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5844296"/>
        <c:crosses val="autoZero"/>
        <c:crossBetween val="midCat"/>
      </c:valAx>
      <c:valAx>
        <c:axId val="575844296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75837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layout>
        <c:manualLayout>
          <c:xMode val="edge"/>
          <c:yMode val="edge"/>
          <c:x val="0.440225625805213"/>
          <c:y val="0.026548768360476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0183136390652"/>
          <c:y val="0.0931018405308046"/>
          <c:w val="0.793250034681065"/>
          <c:h val="0.771387541752422"/>
        </c:manualLayout>
      </c:layout>
      <c:scatterChart>
        <c:scatterStyle val="lineMarker"/>
        <c:ser>
          <c:idx val="1"/>
          <c:order val="0"/>
          <c:tx>
            <c:strRef>
              <c:f>IFU!$L$12</c:f>
              <c:strCache>
                <c:ptCount val="1"/>
                <c:pt idx="0">
                  <c:v>Aeff  (m^2)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IFU!$A$13:$A$54</c:f>
              <c:numCache>
                <c:formatCode>0.0000</c:formatCode>
                <c:ptCount val="42"/>
                <c:pt idx="0" formatCode="General">
                  <c:v>0.6</c:v>
                </c:pt>
                <c:pt idx="1">
                  <c:v>0.634146341463415</c:v>
                </c:pt>
                <c:pt idx="2">
                  <c:v>0.668292682926829</c:v>
                </c:pt>
                <c:pt idx="3">
                  <c:v>0.702439024390244</c:v>
                </c:pt>
                <c:pt idx="4">
                  <c:v>0.736585365853659</c:v>
                </c:pt>
                <c:pt idx="5">
                  <c:v>0.770731707317073</c:v>
                </c:pt>
                <c:pt idx="6">
                  <c:v>0.804878048780488</c:v>
                </c:pt>
                <c:pt idx="7">
                  <c:v>0.839024390243903</c:v>
                </c:pt>
                <c:pt idx="8">
                  <c:v>0.873170731707317</c:v>
                </c:pt>
                <c:pt idx="9">
                  <c:v>0.907317073170732</c:v>
                </c:pt>
                <c:pt idx="10">
                  <c:v>0.941463414634147</c:v>
                </c:pt>
                <c:pt idx="11">
                  <c:v>0.975609756097561</c:v>
                </c:pt>
                <c:pt idx="12">
                  <c:v>1.009756097560976</c:v>
                </c:pt>
                <c:pt idx="13">
                  <c:v>1.04390243902439</c:v>
                </c:pt>
                <c:pt idx="14">
                  <c:v>1.078048780487805</c:v>
                </c:pt>
                <c:pt idx="15">
                  <c:v>1.11219512195122</c:v>
                </c:pt>
                <c:pt idx="16">
                  <c:v>1.146341463414634</c:v>
                </c:pt>
                <c:pt idx="17">
                  <c:v>1.18048780487805</c:v>
                </c:pt>
                <c:pt idx="18">
                  <c:v>1.214634146341464</c:v>
                </c:pt>
                <c:pt idx="19">
                  <c:v>1.248780487804878</c:v>
                </c:pt>
                <c:pt idx="20">
                  <c:v>1.282926829268293</c:v>
                </c:pt>
                <c:pt idx="21">
                  <c:v>1.317073170731708</c:v>
                </c:pt>
                <c:pt idx="22">
                  <c:v>1.351219512195122</c:v>
                </c:pt>
                <c:pt idx="23">
                  <c:v>1.385365853658537</c:v>
                </c:pt>
                <c:pt idx="24">
                  <c:v>1.419512195121952</c:v>
                </c:pt>
                <c:pt idx="25">
                  <c:v>1.453658536585366</c:v>
                </c:pt>
                <c:pt idx="26">
                  <c:v>1.487804878048781</c:v>
                </c:pt>
                <c:pt idx="27">
                  <c:v>1.521951219512196</c:v>
                </c:pt>
                <c:pt idx="28">
                  <c:v>1.55609756097561</c:v>
                </c:pt>
                <c:pt idx="29">
                  <c:v>1.590243902439025</c:v>
                </c:pt>
                <c:pt idx="30">
                  <c:v>1.62439024390244</c:v>
                </c:pt>
                <c:pt idx="31">
                  <c:v>1.658536585365854</c:v>
                </c:pt>
                <c:pt idx="32">
                  <c:v>1.69268292682927</c:v>
                </c:pt>
                <c:pt idx="33">
                  <c:v>1.726829268292684</c:v>
                </c:pt>
                <c:pt idx="34">
                  <c:v>1.760975609756098</c:v>
                </c:pt>
                <c:pt idx="35">
                  <c:v>1.795121951219513</c:v>
                </c:pt>
                <c:pt idx="36">
                  <c:v>1.829268292682928</c:v>
                </c:pt>
                <c:pt idx="37">
                  <c:v>1.863414634146342</c:v>
                </c:pt>
                <c:pt idx="38">
                  <c:v>1.897560975609757</c:v>
                </c:pt>
                <c:pt idx="39">
                  <c:v>1.931707317073172</c:v>
                </c:pt>
                <c:pt idx="40">
                  <c:v>1.965853658536586</c:v>
                </c:pt>
                <c:pt idx="41">
                  <c:v>2.000000000000001</c:v>
                </c:pt>
              </c:numCache>
            </c:numRef>
          </c:xVal>
          <c:yVal>
            <c:numRef>
              <c:f>IFU!$L$13:$L$54</c:f>
              <c:numCache>
                <c:formatCode>0.000</c:formatCode>
                <c:ptCount val="42"/>
                <c:pt idx="0">
                  <c:v>1.671412346603678</c:v>
                </c:pt>
                <c:pt idx="1">
                  <c:v>1.684000112013471</c:v>
                </c:pt>
                <c:pt idx="2">
                  <c:v>1.685434490884032</c:v>
                </c:pt>
                <c:pt idx="3">
                  <c:v>1.670245310720203</c:v>
                </c:pt>
                <c:pt idx="4">
                  <c:v>1.602145138504463</c:v>
                </c:pt>
                <c:pt idx="5">
                  <c:v>1.55931554898492</c:v>
                </c:pt>
                <c:pt idx="6">
                  <c:v>1.536415452306969</c:v>
                </c:pt>
                <c:pt idx="7">
                  <c:v>1.50632283069819</c:v>
                </c:pt>
                <c:pt idx="8">
                  <c:v>1.487789114633404</c:v>
                </c:pt>
                <c:pt idx="9">
                  <c:v>1.466968311897029</c:v>
                </c:pt>
                <c:pt idx="10">
                  <c:v>1.450826441245871</c:v>
                </c:pt>
                <c:pt idx="11">
                  <c:v>1.44198551615744</c:v>
                </c:pt>
                <c:pt idx="12">
                  <c:v>1.441494031895371</c:v>
                </c:pt>
                <c:pt idx="13">
                  <c:v>1.459904689413486</c:v>
                </c:pt>
                <c:pt idx="14">
                  <c:v>1.48150844830723</c:v>
                </c:pt>
                <c:pt idx="15">
                  <c:v>1.509182065987093</c:v>
                </c:pt>
                <c:pt idx="16">
                  <c:v>1.546526075489403</c:v>
                </c:pt>
                <c:pt idx="17">
                  <c:v>1.580234728707432</c:v>
                </c:pt>
                <c:pt idx="18">
                  <c:v>1.612481531942713</c:v>
                </c:pt>
                <c:pt idx="19">
                  <c:v>1.65269754790798</c:v>
                </c:pt>
                <c:pt idx="20">
                  <c:v>1.689391664555199</c:v>
                </c:pt>
                <c:pt idx="21">
                  <c:v>1.722847925216359</c:v>
                </c:pt>
                <c:pt idx="22">
                  <c:v>1.763694136146386</c:v>
                </c:pt>
                <c:pt idx="23">
                  <c:v>1.800671292126575</c:v>
                </c:pt>
                <c:pt idx="24">
                  <c:v>1.82929356654633</c:v>
                </c:pt>
                <c:pt idx="25">
                  <c:v>1.879962957978136</c:v>
                </c:pt>
                <c:pt idx="26">
                  <c:v>1.911855401758668</c:v>
                </c:pt>
                <c:pt idx="27">
                  <c:v>1.940154314954823</c:v>
                </c:pt>
                <c:pt idx="28">
                  <c:v>1.973516397252411</c:v>
                </c:pt>
                <c:pt idx="29">
                  <c:v>1.994490255353421</c:v>
                </c:pt>
                <c:pt idx="30">
                  <c:v>2.022674765627208</c:v>
                </c:pt>
                <c:pt idx="31">
                  <c:v>2.03751575063132</c:v>
                </c:pt>
                <c:pt idx="32">
                  <c:v>2.055252502924184</c:v>
                </c:pt>
                <c:pt idx="33">
                  <c:v>2.069003952076536</c:v>
                </c:pt>
                <c:pt idx="34">
                  <c:v>2.082754980703692</c:v>
                </c:pt>
                <c:pt idx="35">
                  <c:v>2.094071033331892</c:v>
                </c:pt>
                <c:pt idx="36">
                  <c:v>2.0849375370499</c:v>
                </c:pt>
                <c:pt idx="37">
                  <c:v>2.073871920737207</c:v>
                </c:pt>
                <c:pt idx="38">
                  <c:v>2.079842855854136</c:v>
                </c:pt>
                <c:pt idx="39">
                  <c:v>2.072876349079052</c:v>
                </c:pt>
                <c:pt idx="40">
                  <c:v>2.087490770177935</c:v>
                </c:pt>
                <c:pt idx="41">
                  <c:v>1.73563741307536</c:v>
                </c:pt>
              </c:numCache>
            </c:numRef>
          </c:yVal>
        </c:ser>
        <c:dLbls/>
        <c:axId val="575980872"/>
        <c:axId val="575987592"/>
      </c:scatterChart>
      <c:valAx>
        <c:axId val="575980872"/>
        <c:scaling>
          <c:orientation val="minMax"/>
          <c:max val="2.5"/>
          <c:min val="0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(um)</a:t>
                </a:r>
              </a:p>
            </c:rich>
          </c:tx>
          <c:layout>
            <c:manualLayout>
              <c:xMode val="edge"/>
              <c:yMode val="edge"/>
              <c:x val="0.469761490784116"/>
              <c:y val="0.9218302929525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5987592"/>
        <c:crosses val="autoZero"/>
        <c:crossBetween val="midCat"/>
      </c:valAx>
      <c:valAx>
        <c:axId val="575987592"/>
        <c:scaling>
          <c:orientation val="minMax"/>
          <c:min val="0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Aeff </a:t>
                </a:r>
              </a:p>
            </c:rich>
          </c:tx>
          <c:layout>
            <c:manualLayout>
              <c:xMode val="edge"/>
              <c:yMode val="edge"/>
              <c:x val="0.0548524683359728"/>
              <c:y val="0.449853116186564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75980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6020428880989"/>
          <c:y val="0.672567320389299"/>
          <c:w val="0.170183136390652"/>
          <c:h val="0.03834811952853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5" r="0.750000000000005" t="1.0" header="0.5" footer="0.5"/>
    <c:pageSetup orientation="landscape" horizontalDpi="-3" verticalDpi="1200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chart" Target="../charts/chart15.xml"/><Relationship Id="rId5" Type="http://schemas.openxmlformats.org/officeDocument/2006/relationships/image" Target="../media/image4.png"/><Relationship Id="rId1" Type="http://schemas.openxmlformats.org/officeDocument/2006/relationships/image" Target="../media/image2.png"/><Relationship Id="rId2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4" Type="http://schemas.openxmlformats.org/officeDocument/2006/relationships/image" Target="../media/image8.emf"/><Relationship Id="rId5" Type="http://schemas.openxmlformats.org/officeDocument/2006/relationships/image" Target="../media/image9.png"/><Relationship Id="rId6" Type="http://schemas.openxmlformats.org/officeDocument/2006/relationships/image" Target="../media/image10.emf"/><Relationship Id="rId7" Type="http://schemas.openxmlformats.org/officeDocument/2006/relationships/image" Target="../media/image11.png"/><Relationship Id="rId8" Type="http://schemas.openxmlformats.org/officeDocument/2006/relationships/image" Target="../media/image12.png"/><Relationship Id="rId9" Type="http://schemas.openxmlformats.org/officeDocument/2006/relationships/image" Target="../media/image13.png"/><Relationship Id="rId10" Type="http://schemas.openxmlformats.org/officeDocument/2006/relationships/chart" Target="../charts/chart18.xml"/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image" Target="../media/image14.emf"/><Relationship Id="rId2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11</xdr:row>
      <xdr:rowOff>88901</xdr:rowOff>
    </xdr:from>
    <xdr:to>
      <xdr:col>24</xdr:col>
      <xdr:colOff>369570</xdr:colOff>
      <xdr:row>57</xdr:row>
      <xdr:rowOff>162560</xdr:rowOff>
    </xdr:to>
    <xdr:graphicFrame macro="">
      <xdr:nvGraphicFramePr>
        <xdr:cNvPr id="1147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217170</xdr:colOff>
      <xdr:row>11</xdr:row>
      <xdr:rowOff>88901</xdr:rowOff>
    </xdr:from>
    <xdr:to>
      <xdr:col>23</xdr:col>
      <xdr:colOff>369570</xdr:colOff>
      <xdr:row>57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114300</xdr:rowOff>
    </xdr:from>
    <xdr:to>
      <xdr:col>11</xdr:col>
      <xdr:colOff>438150</xdr:colOff>
      <xdr:row>26</xdr:row>
      <xdr:rowOff>51435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217756</xdr:colOff>
      <xdr:row>3</xdr:row>
      <xdr:rowOff>128368</xdr:rowOff>
    </xdr:from>
    <xdr:to>
      <xdr:col>17</xdr:col>
      <xdr:colOff>272561</xdr:colOff>
      <xdr:row>30</xdr:row>
      <xdr:rowOff>59788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34</xdr:row>
      <xdr:rowOff>0</xdr:rowOff>
    </xdr:from>
    <xdr:to>
      <xdr:col>17</xdr:col>
      <xdr:colOff>388619</xdr:colOff>
      <xdr:row>45</xdr:row>
      <xdr:rowOff>175260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00625" y="6496050"/>
          <a:ext cx="5875020" cy="2270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33</xdr:row>
      <xdr:rowOff>138112</xdr:rowOff>
    </xdr:from>
    <xdr:to>
      <xdr:col>21</xdr:col>
      <xdr:colOff>85725</xdr:colOff>
      <xdr:row>50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20</xdr:col>
      <xdr:colOff>9525</xdr:colOff>
      <xdr:row>26</xdr:row>
      <xdr:rowOff>95250</xdr:rowOff>
    </xdr:to>
    <xdr:pic>
      <xdr:nvPicPr>
        <xdr:cNvPr id="322579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9050"/>
          <a:ext cx="10582275" cy="428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</xdr:colOff>
      <xdr:row>32</xdr:row>
      <xdr:rowOff>66675</xdr:rowOff>
    </xdr:from>
    <xdr:to>
      <xdr:col>12</xdr:col>
      <xdr:colOff>333375</xdr:colOff>
      <xdr:row>49</xdr:row>
      <xdr:rowOff>57150</xdr:rowOff>
    </xdr:to>
    <xdr:graphicFrame macro="">
      <xdr:nvGraphicFramePr>
        <xdr:cNvPr id="32258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403860</xdr:colOff>
      <xdr:row>53</xdr:row>
      <xdr:rowOff>53340</xdr:rowOff>
    </xdr:from>
    <xdr:to>
      <xdr:col>11</xdr:col>
      <xdr:colOff>3810</xdr:colOff>
      <xdr:row>75</xdr:row>
      <xdr:rowOff>91440</xdr:rowOff>
    </xdr:to>
    <xdr:pic>
      <xdr:nvPicPr>
        <xdr:cNvPr id="4628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3860" y="8938260"/>
          <a:ext cx="6248400" cy="372618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68580</xdr:colOff>
      <xdr:row>43</xdr:row>
      <xdr:rowOff>76200</xdr:rowOff>
    </xdr:from>
    <xdr:to>
      <xdr:col>23</xdr:col>
      <xdr:colOff>373380</xdr:colOff>
      <xdr:row>59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38100</xdr:colOff>
      <xdr:row>85</xdr:row>
      <xdr:rowOff>104775</xdr:rowOff>
    </xdr:from>
    <xdr:to>
      <xdr:col>13</xdr:col>
      <xdr:colOff>122948</xdr:colOff>
      <xdr:row>117</xdr:row>
      <xdr:rowOff>18413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13868400"/>
          <a:ext cx="7019048" cy="509523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79</xdr:row>
      <xdr:rowOff>0</xdr:rowOff>
    </xdr:from>
    <xdr:to>
      <xdr:col>11</xdr:col>
      <xdr:colOff>457200</xdr:colOff>
      <xdr:row>108</xdr:row>
      <xdr:rowOff>38100</xdr:rowOff>
    </xdr:to>
    <xdr:pic>
      <xdr:nvPicPr>
        <xdr:cNvPr id="24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400" y="12792075"/>
          <a:ext cx="5819775" cy="473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236220</xdr:colOff>
      <xdr:row>74</xdr:row>
      <xdr:rowOff>135255</xdr:rowOff>
    </xdr:from>
    <xdr:to>
      <xdr:col>12</xdr:col>
      <xdr:colOff>91440</xdr:colOff>
      <xdr:row>91</xdr:row>
      <xdr:rowOff>91440</xdr:rowOff>
    </xdr:to>
    <xdr:pic>
      <xdr:nvPicPr>
        <xdr:cNvPr id="24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64380" y="12540615"/>
          <a:ext cx="2903220" cy="2806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57</xdr:row>
      <xdr:rowOff>74164</xdr:rowOff>
    </xdr:from>
    <xdr:to>
      <xdr:col>13</xdr:col>
      <xdr:colOff>106681</xdr:colOff>
      <xdr:row>74</xdr:row>
      <xdr:rowOff>150495</xdr:rowOff>
    </xdr:to>
    <xdr:pic>
      <xdr:nvPicPr>
        <xdr:cNvPr id="24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" y="9629644"/>
          <a:ext cx="8145780" cy="292621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71</xdr:row>
      <xdr:rowOff>104775</xdr:rowOff>
    </xdr:from>
    <xdr:to>
      <xdr:col>10</xdr:col>
      <xdr:colOff>257175</xdr:colOff>
      <xdr:row>76</xdr:row>
      <xdr:rowOff>76200</xdr:rowOff>
    </xdr:to>
    <xdr:pic>
      <xdr:nvPicPr>
        <xdr:cNvPr id="24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9038" b="78815"/>
        <a:stretch>
          <a:fillRect/>
        </a:stretch>
      </xdr:blipFill>
      <xdr:spPr bwMode="auto">
        <a:xfrm>
          <a:off x="638175" y="11601450"/>
          <a:ext cx="49815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495300</xdr:colOff>
      <xdr:row>54</xdr:row>
      <xdr:rowOff>91440</xdr:rowOff>
    </xdr:from>
    <xdr:to>
      <xdr:col>13</xdr:col>
      <xdr:colOff>114300</xdr:colOff>
      <xdr:row>57</xdr:row>
      <xdr:rowOff>9525</xdr:rowOff>
    </xdr:to>
    <xdr:pic>
      <xdr:nvPicPr>
        <xdr:cNvPr id="24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33060" y="9144000"/>
          <a:ext cx="2720340" cy="4210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57150</xdr:colOff>
      <xdr:row>101</xdr:row>
      <xdr:rowOff>28575</xdr:rowOff>
    </xdr:from>
    <xdr:to>
      <xdr:col>29</xdr:col>
      <xdr:colOff>123825</xdr:colOff>
      <xdr:row>131</xdr:row>
      <xdr:rowOff>114300</xdr:rowOff>
    </xdr:to>
    <xdr:pic>
      <xdr:nvPicPr>
        <xdr:cNvPr id="245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715375" y="16383000"/>
          <a:ext cx="7000875" cy="494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5</xdr:col>
      <xdr:colOff>257175</xdr:colOff>
      <xdr:row>124</xdr:row>
      <xdr:rowOff>152400</xdr:rowOff>
    </xdr:to>
    <xdr:pic>
      <xdr:nvPicPr>
        <xdr:cNvPr id="2455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33400" y="18459450"/>
          <a:ext cx="2419350" cy="1771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5</xdr:col>
      <xdr:colOff>180975</xdr:colOff>
      <xdr:row>137</xdr:row>
      <xdr:rowOff>152400</xdr:rowOff>
    </xdr:to>
    <xdr:pic>
      <xdr:nvPicPr>
        <xdr:cNvPr id="245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33400" y="20564475"/>
          <a:ext cx="2343150" cy="1771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228600</xdr:colOff>
      <xdr:row>0</xdr:row>
      <xdr:rowOff>57150</xdr:rowOff>
    </xdr:from>
    <xdr:to>
      <xdr:col>34</xdr:col>
      <xdr:colOff>238125</xdr:colOff>
      <xdr:row>32</xdr:row>
      <xdr:rowOff>133350</xdr:rowOff>
    </xdr:to>
    <xdr:pic>
      <xdr:nvPicPr>
        <xdr:cNvPr id="2457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1553825" y="57150"/>
          <a:ext cx="6943725" cy="52578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9525</xdr:colOff>
      <xdr:row>0</xdr:row>
      <xdr:rowOff>9525</xdr:rowOff>
    </xdr:from>
    <xdr:to>
      <xdr:col>10</xdr:col>
      <xdr:colOff>457200</xdr:colOff>
      <xdr:row>49</xdr:row>
      <xdr:rowOff>57150</xdr:rowOff>
    </xdr:to>
    <xdr:graphicFrame macro="">
      <xdr:nvGraphicFramePr>
        <xdr:cNvPr id="2458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46</xdr:row>
      <xdr:rowOff>219075</xdr:rowOff>
    </xdr:from>
    <xdr:to>
      <xdr:col>6</xdr:col>
      <xdr:colOff>685800</xdr:colOff>
      <xdr:row>58</xdr:row>
      <xdr:rowOff>114300</xdr:rowOff>
    </xdr:to>
    <xdr:pic>
      <xdr:nvPicPr>
        <xdr:cNvPr id="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8896350"/>
          <a:ext cx="3952875" cy="2695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180975</xdr:colOff>
      <xdr:row>6</xdr:row>
      <xdr:rowOff>180975</xdr:rowOff>
    </xdr:from>
    <xdr:to>
      <xdr:col>17</xdr:col>
      <xdr:colOff>28575</xdr:colOff>
      <xdr:row>46</xdr:row>
      <xdr:rowOff>476250</xdr:rowOff>
    </xdr:to>
    <xdr:graphicFrame macro="">
      <xdr:nvGraphicFramePr>
        <xdr:cNvPr id="12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680085</xdr:colOff>
      <xdr:row>88</xdr:row>
      <xdr:rowOff>45720</xdr:rowOff>
    </xdr:from>
    <xdr:to>
      <xdr:col>13</xdr:col>
      <xdr:colOff>100965</xdr:colOff>
      <xdr:row>106</xdr:row>
      <xdr:rowOff>38100</xdr:rowOff>
    </xdr:to>
    <xdr:pic>
      <xdr:nvPicPr>
        <xdr:cNvPr id="126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87165" y="16984980"/>
          <a:ext cx="4739640" cy="3009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85725</xdr:colOff>
      <xdr:row>0</xdr:row>
      <xdr:rowOff>0</xdr:rowOff>
    </xdr:from>
    <xdr:to>
      <xdr:col>30</xdr:col>
      <xdr:colOff>285750</xdr:colOff>
      <xdr:row>19</xdr:row>
      <xdr:rowOff>95250</xdr:rowOff>
    </xdr:to>
    <xdr:graphicFrame macro="">
      <xdr:nvGraphicFramePr>
        <xdr:cNvPr id="126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45</xdr:row>
      <xdr:rowOff>0</xdr:rowOff>
    </xdr:from>
    <xdr:to>
      <xdr:col>16</xdr:col>
      <xdr:colOff>247650</xdr:colOff>
      <xdr:row>57</xdr:row>
      <xdr:rowOff>523875</xdr:rowOff>
    </xdr:to>
    <xdr:graphicFrame macro="">
      <xdr:nvGraphicFramePr>
        <xdr:cNvPr id="127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66675</xdr:colOff>
      <xdr:row>71</xdr:row>
      <xdr:rowOff>152400</xdr:rowOff>
    </xdr:from>
    <xdr:to>
      <xdr:col>17</xdr:col>
      <xdr:colOff>447675</xdr:colOff>
      <xdr:row>87</xdr:row>
      <xdr:rowOff>9525</xdr:rowOff>
    </xdr:to>
    <xdr:graphicFrame macro="">
      <xdr:nvGraphicFramePr>
        <xdr:cNvPr id="127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19050</xdr:rowOff>
    </xdr:from>
    <xdr:to>
      <xdr:col>19</xdr:col>
      <xdr:colOff>495300</xdr:colOff>
      <xdr:row>36</xdr:row>
      <xdr:rowOff>47625</xdr:rowOff>
    </xdr:to>
    <xdr:graphicFrame macro="">
      <xdr:nvGraphicFramePr>
        <xdr:cNvPr id="481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11</xdr:row>
      <xdr:rowOff>1</xdr:rowOff>
    </xdr:from>
    <xdr:to>
      <xdr:col>25</xdr:col>
      <xdr:colOff>50800</xdr:colOff>
      <xdr:row>57</xdr:row>
      <xdr:rowOff>73660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28575</xdr:rowOff>
    </xdr:from>
    <xdr:to>
      <xdr:col>15</xdr:col>
      <xdr:colOff>400050</xdr:colOff>
      <xdr:row>37</xdr:row>
      <xdr:rowOff>38100</xdr:rowOff>
    </xdr:to>
    <xdr:graphicFrame macro="">
      <xdr:nvGraphicFramePr>
        <xdr:cNvPr id="276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315595</xdr:colOff>
      <xdr:row>70</xdr:row>
      <xdr:rowOff>41275</xdr:rowOff>
    </xdr:from>
    <xdr:to>
      <xdr:col>17</xdr:col>
      <xdr:colOff>525145</xdr:colOff>
      <xdr:row>93</xdr:row>
      <xdr:rowOff>96520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375920</xdr:colOff>
      <xdr:row>95</xdr:row>
      <xdr:rowOff>60961</xdr:rowOff>
    </xdr:from>
    <xdr:to>
      <xdr:col>17</xdr:col>
      <xdr:colOff>585470</xdr:colOff>
      <xdr:row>118</xdr:row>
      <xdr:rowOff>101601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315595</xdr:colOff>
      <xdr:row>70</xdr:row>
      <xdr:rowOff>41275</xdr:rowOff>
    </xdr:from>
    <xdr:to>
      <xdr:col>17</xdr:col>
      <xdr:colOff>525145</xdr:colOff>
      <xdr:row>93</xdr:row>
      <xdr:rowOff>96520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375920</xdr:colOff>
      <xdr:row>95</xdr:row>
      <xdr:rowOff>60961</xdr:rowOff>
    </xdr:from>
    <xdr:to>
      <xdr:col>17</xdr:col>
      <xdr:colOff>585470</xdr:colOff>
      <xdr:row>118</xdr:row>
      <xdr:rowOff>101601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11</xdr:row>
      <xdr:rowOff>1</xdr:rowOff>
    </xdr:from>
    <xdr:to>
      <xdr:col>25</xdr:col>
      <xdr:colOff>50800</xdr:colOff>
      <xdr:row>57</xdr:row>
      <xdr:rowOff>73660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11</xdr:row>
      <xdr:rowOff>1</xdr:rowOff>
    </xdr:from>
    <xdr:to>
      <xdr:col>25</xdr:col>
      <xdr:colOff>50800</xdr:colOff>
      <xdr:row>57</xdr:row>
      <xdr:rowOff>73660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11</xdr:row>
      <xdr:rowOff>1</xdr:rowOff>
    </xdr:from>
    <xdr:to>
      <xdr:col>25</xdr:col>
      <xdr:colOff>50800</xdr:colOff>
      <xdr:row>57</xdr:row>
      <xdr:rowOff>73660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11</xdr:row>
      <xdr:rowOff>1</xdr:rowOff>
    </xdr:from>
    <xdr:to>
      <xdr:col>25</xdr:col>
      <xdr:colOff>50800</xdr:colOff>
      <xdr:row>57</xdr:row>
      <xdr:rowOff>73660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11</xdr:row>
      <xdr:rowOff>1</xdr:rowOff>
    </xdr:from>
    <xdr:to>
      <xdr:col>25</xdr:col>
      <xdr:colOff>50800</xdr:colOff>
      <xdr:row>57</xdr:row>
      <xdr:rowOff>73660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143510</xdr:colOff>
      <xdr:row>5</xdr:row>
      <xdr:rowOff>43815</xdr:rowOff>
    </xdr:from>
    <xdr:to>
      <xdr:col>23</xdr:col>
      <xdr:colOff>295910</xdr:colOff>
      <xdr:row>54</xdr:row>
      <xdr:rowOff>152400</xdr:rowOff>
    </xdr:to>
    <xdr:graphicFrame macro="">
      <xdr:nvGraphicFramePr>
        <xdr:cNvPr id="399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555380</xdr:colOff>
      <xdr:row>10</xdr:row>
      <xdr:rowOff>89144</xdr:rowOff>
    </xdr:from>
    <xdr:to>
      <xdr:col>27</xdr:col>
      <xdr:colOff>414704</xdr:colOff>
      <xdr:row>53</xdr:row>
      <xdr:rowOff>82061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Microsoft_Word_97_-_2004_Document1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vmlDrawing" Target="../drawings/vmlDrawing2.vml"/><Relationship Id="rId3" Type="http://schemas.openxmlformats.org/officeDocument/2006/relationships/oleObject" Target="../embeddings/Microsoft_Word_97_-_2004_Document2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" enableFormatConditionsCalculation="0">
    <pageSetUpPr fitToPage="1"/>
  </sheetPr>
  <dimension ref="A3:D25"/>
  <sheetViews>
    <sheetView workbookViewId="0">
      <selection activeCell="C25" sqref="C25"/>
    </sheetView>
  </sheetViews>
  <sheetFormatPr baseColWidth="10" defaultColWidth="8.83203125" defaultRowHeight="12"/>
  <cols>
    <col min="1" max="1" width="10.1640625" bestFit="1" customWidth="1"/>
    <col min="2" max="2" width="37.6640625" style="5" customWidth="1"/>
    <col min="3" max="3" width="40.5" customWidth="1"/>
  </cols>
  <sheetData>
    <row r="3" spans="1:4">
      <c r="D3">
        <v>0.9</v>
      </c>
    </row>
    <row r="4" spans="1:4">
      <c r="A4" s="134" t="s">
        <v>82</v>
      </c>
      <c r="B4" s="150" t="s">
        <v>83</v>
      </c>
      <c r="C4" s="133" t="s">
        <v>338</v>
      </c>
      <c r="D4" s="2">
        <v>2.4</v>
      </c>
    </row>
    <row r="5" spans="1:4" ht="24">
      <c r="A5" s="28">
        <v>41064</v>
      </c>
      <c r="B5" s="151" t="s">
        <v>112</v>
      </c>
      <c r="C5" s="151" t="s">
        <v>114</v>
      </c>
      <c r="D5" t="s">
        <v>306</v>
      </c>
    </row>
    <row r="6" spans="1:4" ht="24.5" customHeight="1">
      <c r="A6" s="28">
        <v>41220</v>
      </c>
      <c r="B6" s="151" t="s">
        <v>1</v>
      </c>
      <c r="C6" t="s">
        <v>2</v>
      </c>
    </row>
    <row r="7" spans="1:4">
      <c r="A7" s="28">
        <v>41387</v>
      </c>
      <c r="B7" s="151" t="s">
        <v>14</v>
      </c>
      <c r="C7" t="s">
        <v>11</v>
      </c>
      <c r="D7" t="s">
        <v>12</v>
      </c>
    </row>
    <row r="8" spans="1:4">
      <c r="A8" s="28">
        <v>41411</v>
      </c>
      <c r="B8" s="151" t="s">
        <v>21</v>
      </c>
    </row>
    <row r="9" spans="1:4" ht="14">
      <c r="B9" s="151" t="s">
        <v>32</v>
      </c>
      <c r="C9" s="185" t="s">
        <v>22</v>
      </c>
    </row>
    <row r="10" spans="1:4" ht="14">
      <c r="C10" s="185" t="s">
        <v>23</v>
      </c>
    </row>
    <row r="11" spans="1:4" ht="14">
      <c r="C11" s="185" t="s">
        <v>24</v>
      </c>
    </row>
    <row r="12" spans="1:4" ht="14">
      <c r="C12" s="185" t="s">
        <v>25</v>
      </c>
    </row>
    <row r="13" spans="1:4" ht="14">
      <c r="C13" s="185"/>
    </row>
    <row r="14" spans="1:4" ht="14">
      <c r="C14" s="185" t="s">
        <v>26</v>
      </c>
    </row>
    <row r="15" spans="1:4" ht="14">
      <c r="C15" s="185" t="s">
        <v>27</v>
      </c>
    </row>
    <row r="16" spans="1:4" ht="14">
      <c r="C16" s="185" t="s">
        <v>28</v>
      </c>
    </row>
    <row r="17" spans="1:3" ht="14">
      <c r="C17" s="185" t="s">
        <v>29</v>
      </c>
    </row>
    <row r="18" spans="1:3" ht="14">
      <c r="C18" s="185" t="s">
        <v>30</v>
      </c>
    </row>
    <row r="19" spans="1:3" ht="14">
      <c r="C19" s="185"/>
    </row>
    <row r="20" spans="1:3" ht="14">
      <c r="C20" s="186" t="s">
        <v>31</v>
      </c>
    </row>
    <row r="21" spans="1:3">
      <c r="B21" s="151" t="s">
        <v>34</v>
      </c>
    </row>
    <row r="22" spans="1:3">
      <c r="B22" s="151" t="s">
        <v>35</v>
      </c>
    </row>
    <row r="23" spans="1:3">
      <c r="A23" s="210">
        <v>41784</v>
      </c>
      <c r="B23" s="5" t="s">
        <v>41</v>
      </c>
    </row>
    <row r="24" spans="1:3">
      <c r="B24" s="5" t="s">
        <v>43</v>
      </c>
      <c r="C24" t="s">
        <v>42</v>
      </c>
    </row>
    <row r="25" spans="1:3">
      <c r="B25" s="5" t="s">
        <v>44</v>
      </c>
      <c r="C25" t="s">
        <v>45</v>
      </c>
    </row>
  </sheetData>
  <phoneticPr fontId="26" type="noConversion"/>
  <printOptions gridLines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4" enableFormatConditionsCalculation="0">
    <pageSetUpPr fitToPage="1"/>
  </sheetPr>
  <dimension ref="A1:O58"/>
  <sheetViews>
    <sheetView topLeftCell="A4" zoomScale="65" zoomScaleNormal="65" zoomScalePageLayoutView="65" workbookViewId="0">
      <selection activeCell="B13" sqref="B13"/>
    </sheetView>
  </sheetViews>
  <sheetFormatPr baseColWidth="10" defaultColWidth="8.83203125" defaultRowHeight="12"/>
  <cols>
    <col min="1" max="1" width="11.33203125" customWidth="1"/>
    <col min="2" max="3" width="12.6640625" customWidth="1"/>
    <col min="4" max="4" width="18.6640625" customWidth="1"/>
    <col min="5" max="5" width="11.5" customWidth="1"/>
    <col min="6" max="6" width="9.6640625" customWidth="1"/>
    <col min="7" max="7" width="10.5" customWidth="1"/>
    <col min="8" max="8" width="12.6640625" customWidth="1"/>
    <col min="9" max="9" width="12.5" customWidth="1"/>
    <col min="10" max="10" width="10.1640625" customWidth="1"/>
    <col min="11" max="11" width="9" customWidth="1"/>
    <col min="12" max="12" width="12" bestFit="1" customWidth="1"/>
    <col min="13" max="13" width="12.1640625" customWidth="1"/>
    <col min="14" max="14" width="10.33203125" customWidth="1"/>
  </cols>
  <sheetData>
    <row r="1" spans="1:15" ht="15.75" customHeight="1" thickBot="1">
      <c r="A1" s="30" t="s">
        <v>309</v>
      </c>
      <c r="G1" t="s">
        <v>238</v>
      </c>
      <c r="I1" s="211" t="s">
        <v>33</v>
      </c>
      <c r="J1" s="212"/>
    </row>
    <row r="2" spans="1:15" ht="13" customHeight="1" thickBot="1">
      <c r="A2" s="91" t="s">
        <v>334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15" ht="13">
      <c r="A3" s="91"/>
      <c r="B3" s="136" t="s">
        <v>310</v>
      </c>
      <c r="C3" s="181"/>
      <c r="D3" s="136" t="s">
        <v>333</v>
      </c>
      <c r="E3" s="93">
        <v>0.6</v>
      </c>
      <c r="F3" s="128"/>
      <c r="G3" s="94"/>
      <c r="H3" s="213" t="s">
        <v>314</v>
      </c>
      <c r="I3" s="214"/>
      <c r="J3" s="214"/>
      <c r="K3" s="135" t="s">
        <v>323</v>
      </c>
      <c r="L3" s="96">
        <f>ImC!L3</f>
        <v>2.36</v>
      </c>
      <c r="M3" s="91" t="s">
        <v>237</v>
      </c>
      <c r="N3" s="91"/>
      <c r="O3" s="91"/>
    </row>
    <row r="4" spans="1:15" ht="13">
      <c r="A4" s="91"/>
      <c r="B4" s="136" t="s">
        <v>311</v>
      </c>
      <c r="C4" s="181"/>
      <c r="D4" s="155" t="s">
        <v>338</v>
      </c>
      <c r="E4" s="157">
        <v>2</v>
      </c>
      <c r="F4" s="128"/>
      <c r="G4" s="94"/>
      <c r="H4" s="213" t="s">
        <v>313</v>
      </c>
      <c r="I4" s="213"/>
      <c r="J4" s="213"/>
      <c r="K4" s="213"/>
      <c r="L4" s="204">
        <f>F5+F6</f>
        <v>16</v>
      </c>
      <c r="M4" s="91"/>
      <c r="N4" s="105" t="s">
        <v>321</v>
      </c>
      <c r="O4" s="97">
        <f>$L$3^2*PI()/4</f>
        <v>4.3743536108584271</v>
      </c>
    </row>
    <row r="5" spans="1:15" ht="24">
      <c r="A5" s="215">
        <v>41064</v>
      </c>
      <c r="B5" s="216"/>
      <c r="C5" s="184"/>
      <c r="D5" s="156" t="s">
        <v>19</v>
      </c>
      <c r="E5" s="99" t="s">
        <v>306</v>
      </c>
      <c r="F5" s="129">
        <v>16</v>
      </c>
      <c r="G5" s="94"/>
      <c r="H5" s="213" t="s">
        <v>241</v>
      </c>
      <c r="I5" s="213"/>
      <c r="J5" s="213"/>
      <c r="K5" s="213"/>
      <c r="L5" s="96">
        <v>3</v>
      </c>
      <c r="M5" s="91" t="s">
        <v>236</v>
      </c>
      <c r="N5" s="91"/>
      <c r="O5" s="97">
        <f>$O$4*(1-$L$6^2-$L$7-$L$8)</f>
        <v>3.367814844999903</v>
      </c>
    </row>
    <row r="6" spans="1:15" ht="13">
      <c r="A6" s="91"/>
      <c r="B6" s="91"/>
      <c r="C6" s="91"/>
      <c r="E6" s="180" t="s">
        <v>20</v>
      </c>
      <c r="F6" s="128">
        <v>0</v>
      </c>
      <c r="G6" s="94"/>
      <c r="H6" s="213" t="s">
        <v>315</v>
      </c>
      <c r="I6" s="213"/>
      <c r="J6" s="213"/>
      <c r="K6" s="213"/>
      <c r="L6" s="96">
        <v>0.31</v>
      </c>
      <c r="M6" s="91"/>
      <c r="N6" s="91"/>
      <c r="O6" s="91"/>
    </row>
    <row r="7" spans="1:15" ht="13">
      <c r="A7" s="154"/>
      <c r="B7" s="133"/>
      <c r="C7" s="133"/>
      <c r="D7" s="91" t="s">
        <v>333</v>
      </c>
      <c r="E7" s="99">
        <f>0.5*(E3+E4)</f>
        <v>1.3</v>
      </c>
      <c r="F7" s="129"/>
      <c r="G7" s="91"/>
      <c r="H7" s="217" t="s">
        <v>235</v>
      </c>
      <c r="I7" s="217"/>
      <c r="J7" s="217"/>
      <c r="K7" s="217"/>
      <c r="L7" s="96">
        <f>ImC!L7</f>
        <v>5.3999999999999999E-2</v>
      </c>
      <c r="M7" s="91"/>
      <c r="N7" s="91"/>
      <c r="O7" s="91"/>
    </row>
    <row r="8" spans="1:15" ht="14" thickBot="1">
      <c r="A8" s="91" t="s">
        <v>248</v>
      </c>
      <c r="B8" s="91"/>
      <c r="C8" s="91"/>
      <c r="D8" s="91"/>
      <c r="E8" s="131">
        <f>(E4-E3)/E7</f>
        <v>1.0769230769230769</v>
      </c>
      <c r="F8" s="128"/>
      <c r="G8" s="102"/>
      <c r="H8" s="217" t="s">
        <v>234</v>
      </c>
      <c r="I8" s="217"/>
      <c r="J8" s="217"/>
      <c r="K8" s="217"/>
      <c r="L8" s="106">
        <v>0.08</v>
      </c>
      <c r="M8" s="91"/>
      <c r="N8" s="91"/>
      <c r="O8" s="91"/>
    </row>
    <row r="9" spans="1:15" ht="14" thickBot="1">
      <c r="A9" s="217" t="s">
        <v>312</v>
      </c>
      <c r="B9" s="218"/>
      <c r="C9" s="182"/>
      <c r="D9" s="136" t="s">
        <v>333</v>
      </c>
      <c r="E9" s="132">
        <f>(E4-E3)/41</f>
        <v>3.414634146341463E-2</v>
      </c>
      <c r="F9" s="103"/>
      <c r="G9" s="91"/>
      <c r="H9" s="217" t="s">
        <v>317</v>
      </c>
      <c r="I9" s="217"/>
      <c r="J9" s="217"/>
      <c r="K9" s="136"/>
      <c r="L9" s="101">
        <v>0.02</v>
      </c>
      <c r="M9" s="91"/>
      <c r="N9" s="91"/>
      <c r="O9" s="91"/>
    </row>
    <row r="10" spans="1:15" ht="14.25" customHeight="1">
      <c r="A10" s="217" t="s">
        <v>316</v>
      </c>
      <c r="B10" s="218"/>
      <c r="C10" s="182"/>
      <c r="D10" s="137"/>
      <c r="E10" s="102">
        <f>(E4-E3)/((E3+E4)/2)</f>
        <v>1.0769230769230769</v>
      </c>
      <c r="F10" s="102"/>
      <c r="G10" s="91"/>
      <c r="H10" s="91"/>
      <c r="I10" s="91" t="s">
        <v>190</v>
      </c>
      <c r="J10" s="91"/>
      <c r="K10" s="104" t="s">
        <v>354</v>
      </c>
      <c r="L10" s="96">
        <v>0</v>
      </c>
      <c r="M10" s="91"/>
      <c r="N10" s="91"/>
      <c r="O10" s="91"/>
    </row>
    <row r="11" spans="1:15" ht="14.25" customHeight="1" thickBot="1">
      <c r="A11" s="219" t="s">
        <v>247</v>
      </c>
      <c r="B11" s="220"/>
      <c r="C11" s="220"/>
      <c r="D11" s="220"/>
      <c r="E11" s="102">
        <v>0.95</v>
      </c>
      <c r="F11" s="102"/>
      <c r="G11" s="91"/>
      <c r="H11" s="91"/>
      <c r="I11" s="91"/>
      <c r="J11" s="91"/>
      <c r="K11" s="91"/>
      <c r="L11" s="91" t="s">
        <v>342</v>
      </c>
      <c r="M11" s="91"/>
      <c r="N11" s="91"/>
      <c r="O11" s="91"/>
    </row>
    <row r="12" spans="1:15" ht="64.5" customHeight="1">
      <c r="A12" s="84" t="s">
        <v>165</v>
      </c>
      <c r="B12" s="85" t="s">
        <v>0</v>
      </c>
      <c r="C12" s="85" t="s">
        <v>18</v>
      </c>
      <c r="D12" s="85" t="s">
        <v>367</v>
      </c>
      <c r="E12" s="85" t="s">
        <v>196</v>
      </c>
      <c r="F12" s="85" t="s">
        <v>189</v>
      </c>
      <c r="G12" s="85" t="s">
        <v>191</v>
      </c>
      <c r="H12" s="85" t="s">
        <v>324</v>
      </c>
      <c r="I12" s="86" t="s">
        <v>325</v>
      </c>
      <c r="J12" s="85" t="s">
        <v>183</v>
      </c>
      <c r="K12" s="85" t="s">
        <v>341</v>
      </c>
      <c r="L12" s="85" t="s">
        <v>320</v>
      </c>
      <c r="N12" s="5" t="s">
        <v>322</v>
      </c>
    </row>
    <row r="13" spans="1:15" ht="15.75" customHeight="1">
      <c r="A13" s="78">
        <f>E3</f>
        <v>0.6</v>
      </c>
      <c r="B13" s="83">
        <f>IF($A13&lt;&gt;"",IF($E$5="pAu",VLOOKUP(A13,pAg!$A$2:$C$47,3),VLOOKUP(A13,pAg!$O$3:$P1203,2)),"")</f>
        <v>0.98305355601818178</v>
      </c>
      <c r="C13" s="83">
        <f>VLOOKUP(A13,pAg!$A$7:$C$47,3)</f>
        <v>0.92</v>
      </c>
      <c r="D13" s="87">
        <f ca="1">IF($A13&lt;&gt;"",1-VLOOKUP($N13,'AR sim'!$E$10:$F$38,2)*'Z087'!$E$10/'AR sim'!$D$42,"")</f>
        <v>0.98762499999999998</v>
      </c>
      <c r="E13" s="88">
        <v>0.95</v>
      </c>
      <c r="F13" s="87">
        <f>IF($L$10=1, IF($K$10="R",VLOOKUP($A13,dichroic!$F$5:$H$1232,3),VLOOKUP($A13,dichroic!$F$5:$H$1232,2)),1)</f>
        <v>1</v>
      </c>
      <c r="G13" s="83">
        <f ca="1">IF($A13&lt;&gt;"",$B13^$L$4*$D13^(2*($L$5))*$E13*$F13,"")</f>
        <v>0.67067313511427629</v>
      </c>
      <c r="H13" s="83">
        <f>IF($A13&lt;&gt;"",$B13^$F$5*$C13^$F$6,"")</f>
        <v>0.76073755465288739</v>
      </c>
      <c r="I13" s="83">
        <f t="shared" ref="I13:I53" ca="1" si="0">IF($A13&lt;&gt;"",$D13^(2*($L$5))*$E13,"")</f>
        <v>0.88160907925768672</v>
      </c>
      <c r="J13" s="89">
        <f t="shared" ref="J13:J53" si="1">IF($A13&lt;&gt;"",(1-$L$9),"")</f>
        <v>0.98</v>
      </c>
      <c r="K13" s="46">
        <f>VLOOKUP($A13,'SWIR data'!$A$5:$K$795,11)/100</f>
        <v>0.7550894683913133</v>
      </c>
      <c r="L13" s="90">
        <f t="shared" ref="L13:L53" ca="1" si="2">IF($A13&lt;&gt;"",G13*$K13*$J13*$O$5,"")</f>
        <v>1.6714123466036785</v>
      </c>
      <c r="N13" s="6">
        <f t="shared" ref="N13:N54" si="3">($A13-$E$3)/($E$4-$E$3)</f>
        <v>0</v>
      </c>
    </row>
    <row r="14" spans="1:15" ht="15.75" customHeight="1">
      <c r="A14" s="79">
        <f t="shared" ref="A14:A54" si="4">IF(A13&lt;&gt;"",IF(A13+$E$9&gt;$E$4,"",A13+$E$9),"")</f>
        <v>0.63414634146341464</v>
      </c>
      <c r="B14" s="83">
        <f>IF($A14&lt;&gt;"",IF($E$5="pAu",VLOOKUP(A14,pAg!$A$2:$C$47,3),VLOOKUP(A14,pAg!$O$3:$P1204,2)),"")</f>
        <v>0.98259436984999993</v>
      </c>
      <c r="C14" s="83">
        <f>VLOOKUP(A14,pAg!$A$7:$C$47,3)</f>
        <v>0.92</v>
      </c>
      <c r="D14" s="87">
        <f ca="1">IF($A14&lt;&gt;"",1-VLOOKUP($N14,'AR sim'!$E$10:$F$38,2)*'Z087'!$E$10/'AR sim'!$D$42,"")</f>
        <v>0.98762499999999998</v>
      </c>
      <c r="E14" s="88">
        <f>E13</f>
        <v>0.95</v>
      </c>
      <c r="F14" s="87">
        <f>IF($L$10=1, IF($K$10="R",VLOOKUP($A14,dichroic!$F$5:$H$1232,3),VLOOKUP($A14,dichroic!$F$5:$H$1232,2)),1)</f>
        <v>1</v>
      </c>
      <c r="G14" s="83">
        <f t="shared" ref="G14:G53" ca="1" si="5">IF($A14&lt;&gt;"",$B14^$L$4*$D14^(2*($L$5))*$E14*$F14,"")</f>
        <v>0.66567829356667363</v>
      </c>
      <c r="H14" s="83">
        <f t="shared" ref="H14:H53" si="6">IF($A14&lt;&gt;"",$B14^$F$5*$C14^$F$6,"")</f>
        <v>0.75507195788769965</v>
      </c>
      <c r="I14" s="83">
        <f t="shared" ca="1" si="0"/>
        <v>0.88160907925768672</v>
      </c>
      <c r="J14" s="89">
        <f t="shared" si="1"/>
        <v>0.98</v>
      </c>
      <c r="K14" s="46">
        <f>VLOOKUP($A14,'SWIR data'!$A$5:$K$795,11)/100</f>
        <v>0.76648460734368062</v>
      </c>
      <c r="L14" s="90">
        <f t="shared" ca="1" si="2"/>
        <v>1.6840001120134711</v>
      </c>
      <c r="N14" s="6">
        <f t="shared" si="3"/>
        <v>2.4390243902439046E-2</v>
      </c>
    </row>
    <row r="15" spans="1:15" ht="16.5" customHeight="1">
      <c r="A15" s="79">
        <f t="shared" si="4"/>
        <v>0.66829268292682931</v>
      </c>
      <c r="B15" s="83">
        <f>IF($A15&lt;&gt;"",IF($E$5="pAu",VLOOKUP(A15,pAg!$A$2:$C$47,3),VLOOKUP(A15,pAg!$O$3:$P1205,2)),"")</f>
        <v>0.98201527080454554</v>
      </c>
      <c r="C15" s="83">
        <f>VLOOKUP(A15,pAg!$A$7:$C$47,3)</f>
        <v>0.94500000000000006</v>
      </c>
      <c r="D15" s="87">
        <f ca="1">IF($A15&lt;&gt;"",1-VLOOKUP($N15,'AR sim'!$E$10:$F$38,2)*'Z087'!$E$10/'AR sim'!$D$42,"")</f>
        <v>0.99027678571428568</v>
      </c>
      <c r="E15" s="88">
        <f t="shared" ref="E15:E54" si="7">E14</f>
        <v>0.95</v>
      </c>
      <c r="F15" s="87">
        <f>IF($L$10=1, IF($K$10="R",VLOOKUP($A15,dichroic!$F$5:$H$1232,3),VLOOKUP($A15,dichroic!$F$5:$H$1232,2)),1)</f>
        <v>1</v>
      </c>
      <c r="G15" s="83">
        <f t="shared" ca="1" si="5"/>
        <v>0.67012382162080764</v>
      </c>
      <c r="H15" s="83">
        <f t="shared" si="6"/>
        <v>0.7479832304092392</v>
      </c>
      <c r="I15" s="83">
        <f t="shared" ca="1" si="0"/>
        <v>0.89590754762532199</v>
      </c>
      <c r="J15" s="89">
        <f t="shared" si="1"/>
        <v>0.98</v>
      </c>
      <c r="K15" s="46">
        <f>VLOOKUP($A15,'SWIR data'!$A$5:$K$795,11)/100</f>
        <v>0.76204836906253814</v>
      </c>
      <c r="L15" s="90">
        <f t="shared" ca="1" si="2"/>
        <v>1.685434490884032</v>
      </c>
      <c r="N15" s="6">
        <f t="shared" si="3"/>
        <v>4.8780487804878092E-2</v>
      </c>
    </row>
    <row r="16" spans="1:15" ht="14.25" customHeight="1">
      <c r="A16" s="79">
        <f t="shared" si="4"/>
        <v>0.70243902439024397</v>
      </c>
      <c r="B16" s="83">
        <f>IF($A16&lt;&gt;"",IF($E$5="pAu",VLOOKUP(A16,pAg!$A$2:$C$47,3),VLOOKUP(A16,pAg!$O$3:$P1206,2)),"")</f>
        <v>0.98150005256818174</v>
      </c>
      <c r="C16" s="83">
        <f>VLOOKUP(A16,pAg!$A$7:$C$47,3)</f>
        <v>0.97</v>
      </c>
      <c r="D16" s="87">
        <f ca="1">IF($A16&lt;&gt;"",1-VLOOKUP($N16,'AR sim'!$E$10:$F$38,2)*'Z087'!$E$10/'AR sim'!$D$42,"")</f>
        <v>0.99292857142857138</v>
      </c>
      <c r="E16" s="88">
        <f t="shared" si="7"/>
        <v>0.95</v>
      </c>
      <c r="F16" s="87">
        <f>IF($L$10=1, IF($K$10="R",VLOOKUP($A16,dichroic!$F$5:$H$1232,3),VLOOKUP($A16,dichroic!$F$5:$H$1232,2)),1)</f>
        <v>1</v>
      </c>
      <c r="G16" s="83">
        <f t="shared" ca="1" si="5"/>
        <v>0.67526911450101768</v>
      </c>
      <c r="H16" s="83">
        <f t="shared" si="6"/>
        <v>0.74172895870949018</v>
      </c>
      <c r="I16" s="83">
        <f t="shared" ca="1" si="0"/>
        <v>0.91039874683590116</v>
      </c>
      <c r="J16" s="89">
        <f t="shared" si="1"/>
        <v>0.98</v>
      </c>
      <c r="K16" s="46">
        <f>VLOOKUP($A16,'SWIR data'!$A$5:$K$795,11)/100</f>
        <v>0.74942657984316119</v>
      </c>
      <c r="L16" s="90">
        <f t="shared" ca="1" si="2"/>
        <v>1.6702453107202031</v>
      </c>
      <c r="N16" s="6">
        <f t="shared" si="3"/>
        <v>7.3170731707317138E-2</v>
      </c>
    </row>
    <row r="17" spans="1:14" ht="15">
      <c r="A17" s="79">
        <f t="shared" si="4"/>
        <v>0.73658536585365864</v>
      </c>
      <c r="B17" s="83">
        <f>IF($A17&lt;&gt;"",IF($E$5="pAu",VLOOKUP(A17,pAg!$A$2:$C$47,3),VLOOKUP(A17,pAg!$O$3:$P1207,2)),"")</f>
        <v>0.98072798322272736</v>
      </c>
      <c r="C17" s="83">
        <f>VLOOKUP(A17,pAg!$A$7:$C$47,3)</f>
        <v>0.97</v>
      </c>
      <c r="D17" s="87">
        <f ca="1">IF($A17&lt;&gt;"",1-VLOOKUP($N17,'AR sim'!$E$10:$F$38,2)*'Z087'!$E$10/'AR sim'!$D$42,"")</f>
        <v>0.99292857142857138</v>
      </c>
      <c r="E17" s="88">
        <f t="shared" si="7"/>
        <v>0.95</v>
      </c>
      <c r="F17" s="87">
        <f>IF($L$10=1, IF($K$10="R",VLOOKUP($A17,dichroic!$F$5:$H$1232,3),VLOOKUP($A17,dichroic!$F$5:$H$1232,2)),1)</f>
        <v>1</v>
      </c>
      <c r="G17" s="83">
        <f t="shared" ca="1" si="5"/>
        <v>0.6668201689922435</v>
      </c>
      <c r="H17" s="83">
        <f t="shared" si="6"/>
        <v>0.73244846976095124</v>
      </c>
      <c r="I17" s="83">
        <f t="shared" ca="1" si="0"/>
        <v>0.91039874683590116</v>
      </c>
      <c r="J17" s="89">
        <f t="shared" si="1"/>
        <v>0.98</v>
      </c>
      <c r="K17" s="46">
        <f>VLOOKUP($A17,'SWIR data'!$A$5:$K$795,11)/100</f>
        <v>0.72797899166486413</v>
      </c>
      <c r="L17" s="90">
        <f t="shared" ca="1" si="2"/>
        <v>1.6021451385044632</v>
      </c>
      <c r="N17" s="6">
        <f t="shared" si="3"/>
        <v>9.7560975609756184E-2</v>
      </c>
    </row>
    <row r="18" spans="1:14" ht="15">
      <c r="A18" s="79">
        <f t="shared" si="4"/>
        <v>0.7707317073170733</v>
      </c>
      <c r="B18" s="83">
        <f>IF($A18&lt;&gt;"",IF($E$5="pAu",VLOOKUP(A18,pAg!$A$2:$C$47,3),VLOOKUP(A18,pAg!$O$3:$P1208,2)),"")</f>
        <v>0.98003711130454563</v>
      </c>
      <c r="C18" s="83">
        <f>VLOOKUP(A18,pAg!$A$7:$C$47,3)</f>
        <v>0.97499999999999998</v>
      </c>
      <c r="D18" s="87">
        <f ca="1">IF($A18&lt;&gt;"",1-VLOOKUP($N18,'AR sim'!$E$10:$F$38,2)*'Z087'!$E$10/'AR sim'!$D$42,"")</f>
        <v>0.99469642857142859</v>
      </c>
      <c r="E18" s="88">
        <f t="shared" si="7"/>
        <v>0.95</v>
      </c>
      <c r="F18" s="87">
        <f>IF($L$10=1, IF($K$10="R",VLOOKUP($A18,dichroic!$F$5:$H$1232,3),VLOOKUP($A18,dichroic!$F$5:$H$1232,2)),1)</f>
        <v>1</v>
      </c>
      <c r="G18" s="83">
        <f t="shared" ca="1" si="5"/>
        <v>0.66641889424728529</v>
      </c>
      <c r="H18" s="83">
        <f t="shared" si="6"/>
        <v>0.72423639337515655</v>
      </c>
      <c r="I18" s="83">
        <f t="shared" ca="1" si="0"/>
        <v>0.92016764186838984</v>
      </c>
      <c r="J18" s="89">
        <f t="shared" si="1"/>
        <v>0.98</v>
      </c>
      <c r="K18" s="46">
        <f>VLOOKUP($A18,'SWIR data'!$A$5:$K$795,11)/100</f>
        <v>0.70894480636519674</v>
      </c>
      <c r="L18" s="90">
        <f t="shared" ca="1" si="2"/>
        <v>1.5593155489849198</v>
      </c>
      <c r="N18" s="6">
        <f t="shared" si="3"/>
        <v>0.12195121951219524</v>
      </c>
    </row>
    <row r="19" spans="1:14" ht="15">
      <c r="A19" s="79">
        <f t="shared" si="4"/>
        <v>0.80487804878048796</v>
      </c>
      <c r="B19" s="83">
        <f>IF($A19&lt;&gt;"",IF($E$5="pAu",VLOOKUP(A19,pAg!$A$2:$C$47,3),VLOOKUP(A19,pAg!$O$3:$P1209,2)),"")</f>
        <v>0.97925634565909092</v>
      </c>
      <c r="C19" s="83">
        <f>VLOOKUP(A19,pAg!$A$7:$C$47,3)</f>
        <v>0.98</v>
      </c>
      <c r="D19" s="87">
        <f ca="1">IF($A19&lt;&gt;"",1-VLOOKUP($N19,'AR sim'!$E$10:$F$38,2)*'Z087'!$E$10/'AR sim'!$D$42,"")</f>
        <v>0.99646428571428569</v>
      </c>
      <c r="E19" s="88">
        <f t="shared" si="7"/>
        <v>0.95</v>
      </c>
      <c r="F19" s="87">
        <f>IF($L$10=1, IF($K$10="R",VLOOKUP($A19,dichroic!$F$5:$H$1232,3),VLOOKUP($A19,dichroic!$F$5:$H$1232,2)),1)</f>
        <v>1</v>
      </c>
      <c r="G19" s="83">
        <f t="shared" ca="1" si="5"/>
        <v>0.66502250690134856</v>
      </c>
      <c r="H19" s="83">
        <f t="shared" si="6"/>
        <v>0.71505971566054183</v>
      </c>
      <c r="I19" s="83">
        <f t="shared" ca="1" si="0"/>
        <v>0.93002373415348816</v>
      </c>
      <c r="J19" s="89">
        <f t="shared" si="1"/>
        <v>0.98</v>
      </c>
      <c r="K19" s="46">
        <f>VLOOKUP($A19,'SWIR data'!$A$5:$K$795,11)/100</f>
        <v>0.7</v>
      </c>
      <c r="L19" s="90">
        <f t="shared" ca="1" si="2"/>
        <v>1.5364154523069686</v>
      </c>
      <c r="N19" s="6">
        <f t="shared" si="3"/>
        <v>0.14634146341463428</v>
      </c>
    </row>
    <row r="20" spans="1:14" ht="15">
      <c r="A20" s="79">
        <f t="shared" si="4"/>
        <v>0.83902439024390263</v>
      </c>
      <c r="B20" s="83">
        <f>IF($A20&lt;&gt;"",IF($E$5="pAu",VLOOKUP(A20,pAg!$A$2:$C$47,3),VLOOKUP(A20,pAg!$O$3:$P1210,2)),"")</f>
        <v>0.97804645098636356</v>
      </c>
      <c r="C20" s="83">
        <f>VLOOKUP(A20,pAg!$A$7:$C$47,3)</f>
        <v>0.98</v>
      </c>
      <c r="D20" s="87">
        <f ca="1">IF($A20&lt;&gt;"",1-VLOOKUP($N20,'AR sim'!$E$10:$F$38,2)*'Z087'!$E$10/'AR sim'!$D$42,"")</f>
        <v>0.99646428571428569</v>
      </c>
      <c r="E20" s="88">
        <f t="shared" si="7"/>
        <v>0.95</v>
      </c>
      <c r="F20" s="87">
        <f>IF($L$10=1, IF($K$10="R",VLOOKUP($A20,dichroic!$F$5:$H$1232,3),VLOOKUP($A20,dichroic!$F$5:$H$1232,2)),1)</f>
        <v>1</v>
      </c>
      <c r="G20" s="83">
        <f t="shared" ca="1" si="5"/>
        <v>0.65199720789680227</v>
      </c>
      <c r="H20" s="83">
        <f t="shared" si="6"/>
        <v>0.70105437523081393</v>
      </c>
      <c r="I20" s="83">
        <f t="shared" ca="1" si="0"/>
        <v>0.93002373415348816</v>
      </c>
      <c r="J20" s="89">
        <f t="shared" si="1"/>
        <v>0.98</v>
      </c>
      <c r="K20" s="46">
        <f>VLOOKUP($A20,'SWIR data'!$A$5:$K$795,11)/100</f>
        <v>0.7</v>
      </c>
      <c r="L20" s="90">
        <f t="shared" ca="1" si="2"/>
        <v>1.5063228306981902</v>
      </c>
      <c r="N20" s="6">
        <f t="shared" si="3"/>
        <v>0.17073170731707332</v>
      </c>
    </row>
    <row r="21" spans="1:14" ht="15">
      <c r="A21" s="79">
        <f t="shared" si="4"/>
        <v>0.87317073170731729</v>
      </c>
      <c r="B21" s="83">
        <f>IF($A21&lt;&gt;"",IF($E$5="pAu",VLOOKUP(A21,pAg!$A$2:$C$47,3),VLOOKUP(A21,pAg!$O$3:$P1211,2)),"")</f>
        <v>0.97720870259545445</v>
      </c>
      <c r="C21" s="83">
        <f>VLOOKUP(A21,pAg!$A$7:$C$47,3)</f>
        <v>0.98499999999999999</v>
      </c>
      <c r="D21" s="87">
        <f ca="1">IF($A21&lt;&gt;"",1-VLOOKUP($N21,'AR sim'!$E$10:$F$38,2)*'Z087'!$E$10/'AR sim'!$D$42,"")</f>
        <v>0.99668526785714284</v>
      </c>
      <c r="E21" s="88">
        <f t="shared" si="7"/>
        <v>0.95</v>
      </c>
      <c r="F21" s="87">
        <f>IF($L$10=1, IF($K$10="R",VLOOKUP($A21,dichroic!$F$5:$H$1232,3),VLOOKUP($A21,dichroic!$F$5:$H$1232,2)),1)</f>
        <v>1</v>
      </c>
      <c r="G21" s="83">
        <f t="shared" ca="1" si="5"/>
        <v>0.64397506889716183</v>
      </c>
      <c r="H21" s="83">
        <f t="shared" si="6"/>
        <v>0.69150801036322129</v>
      </c>
      <c r="I21" s="83">
        <f t="shared" ca="1" si="0"/>
        <v>0.93126190766598305</v>
      </c>
      <c r="J21" s="89">
        <f t="shared" si="1"/>
        <v>0.98</v>
      </c>
      <c r="K21" s="46">
        <f>VLOOKUP($A21,'SWIR data'!$A$5:$K$795,11)/100</f>
        <v>0.7</v>
      </c>
      <c r="L21" s="90">
        <f t="shared" ca="1" si="2"/>
        <v>1.4877891146334039</v>
      </c>
      <c r="N21" s="6">
        <f t="shared" si="3"/>
        <v>0.19512195121951237</v>
      </c>
    </row>
    <row r="22" spans="1:14" ht="15">
      <c r="A22" s="79">
        <f t="shared" si="4"/>
        <v>0.90731707317073196</v>
      </c>
      <c r="B22" s="83">
        <f>IF($A22&lt;&gt;"",IF($E$5="pAu",VLOOKUP(A22,pAg!$A$2:$C$47,3),VLOOKUP(A22,pAg!$O$3:$P1212,2)),"")</f>
        <v>0.97626716032727279</v>
      </c>
      <c r="C22" s="83">
        <f>VLOOKUP(A22,pAg!$A$7:$C$47,3)</f>
        <v>0.99</v>
      </c>
      <c r="D22" s="87">
        <f ca="1">IF($A22&lt;&gt;"",1-VLOOKUP($N22,'AR sim'!$E$10:$F$38,2)*'Z087'!$E$10/'AR sim'!$D$42,"")</f>
        <v>0.99690624999999999</v>
      </c>
      <c r="E22" s="88">
        <f t="shared" si="7"/>
        <v>0.95</v>
      </c>
      <c r="F22" s="87">
        <f>IF($L$10=1, IF($K$10="R",VLOOKUP($A22,dichroic!$F$5:$H$1232,3),VLOOKUP($A22,dichroic!$F$5:$H$1232,2)),1)</f>
        <v>1</v>
      </c>
      <c r="G22" s="83">
        <f t="shared" ca="1" si="5"/>
        <v>0.63496298664385453</v>
      </c>
      <c r="H22" s="83">
        <f t="shared" si="6"/>
        <v>0.68092439270567595</v>
      </c>
      <c r="I22" s="83">
        <f t="shared" ca="1" si="0"/>
        <v>0.93250145456062716</v>
      </c>
      <c r="J22" s="89">
        <f t="shared" si="1"/>
        <v>0.98</v>
      </c>
      <c r="K22" s="46">
        <f>VLOOKUP($A22,'SWIR data'!$A$5:$K$795,11)/100</f>
        <v>0.7</v>
      </c>
      <c r="L22" s="90">
        <f t="shared" ca="1" si="2"/>
        <v>1.4669683118970287</v>
      </c>
      <c r="N22" s="6">
        <f t="shared" si="3"/>
        <v>0.21951219512195144</v>
      </c>
    </row>
    <row r="23" spans="1:14" ht="15">
      <c r="A23" s="79">
        <f t="shared" si="4"/>
        <v>0.94146341463414662</v>
      </c>
      <c r="B23" s="83">
        <f>IF($A23&lt;&gt;"",IF($E$5="pAu",VLOOKUP(A23,pAg!$A$2:$C$47,3),VLOOKUP(A23,pAg!$O$3:$P1213,2)),"")</f>
        <v>0.97559227172727281</v>
      </c>
      <c r="C23" s="83">
        <f>VLOOKUP(A23,pAg!$A$7:$C$47,3)</f>
        <v>0.99</v>
      </c>
      <c r="D23" s="87">
        <f ca="1">IF($A23&lt;&gt;"",1-VLOOKUP($N23,'AR sim'!$E$10:$F$38,2)*'Z087'!$E$10/'AR sim'!$D$42,"")</f>
        <v>0.99690624999999999</v>
      </c>
      <c r="E23" s="88">
        <f t="shared" si="7"/>
        <v>0.95</v>
      </c>
      <c r="F23" s="87">
        <f>IF($L$10=1, IF($K$10="R",VLOOKUP($A23,dichroic!$F$5:$H$1232,3),VLOOKUP($A23,dichroic!$F$5:$H$1232,2)),1)</f>
        <v>1</v>
      </c>
      <c r="G23" s="83">
        <f t="shared" ca="1" si="5"/>
        <v>0.62797613470195845</v>
      </c>
      <c r="H23" s="83">
        <f t="shared" si="6"/>
        <v>0.6734318017743427</v>
      </c>
      <c r="I23" s="83">
        <f t="shared" ca="1" si="0"/>
        <v>0.93250145456062716</v>
      </c>
      <c r="J23" s="89">
        <f t="shared" si="1"/>
        <v>0.98</v>
      </c>
      <c r="K23" s="46">
        <f>VLOOKUP($A23,'SWIR data'!$A$5:$K$795,11)/100</f>
        <v>0.7</v>
      </c>
      <c r="L23" s="90">
        <f t="shared" ca="1" si="2"/>
        <v>1.4508264412458711</v>
      </c>
      <c r="N23" s="6">
        <f t="shared" si="3"/>
        <v>0.24390243902439049</v>
      </c>
    </row>
    <row r="24" spans="1:14" ht="15">
      <c r="A24" s="79">
        <f t="shared" si="4"/>
        <v>0.97560975609756129</v>
      </c>
      <c r="B24" s="83">
        <f>IF($A24&lt;&gt;"",IF($E$5="pAu",VLOOKUP(A24,pAg!$A$2:$C$47,3),VLOOKUP(A24,pAg!$O$3:$P1214,2)),"")</f>
        <v>0.97513859152727278</v>
      </c>
      <c r="C24" s="83">
        <f>VLOOKUP(A24,pAg!$A$7:$C$47,3)</f>
        <v>0.99</v>
      </c>
      <c r="D24" s="87">
        <f ca="1">IF($A24&lt;&gt;"",1-VLOOKUP($N24,'AR sim'!$E$10:$F$38,2)*'Z087'!$E$10/'AR sim'!$D$42,"")</f>
        <v>0.99712723214285715</v>
      </c>
      <c r="E24" s="88">
        <f t="shared" si="7"/>
        <v>0.95</v>
      </c>
      <c r="F24" s="87">
        <f>IF($L$10=1, IF($K$10="R",VLOOKUP($A24,dichroic!$F$5:$H$1232,3),VLOOKUP($A24,dichroic!$F$5:$H$1232,2)),1)</f>
        <v>1</v>
      </c>
      <c r="G24" s="83">
        <f t="shared" ca="1" si="5"/>
        <v>0.62414942614028168</v>
      </c>
      <c r="H24" s="83">
        <f t="shared" si="6"/>
        <v>0.66843857807622886</v>
      </c>
      <c r="I24" s="83">
        <f t="shared" ca="1" si="0"/>
        <v>0.93374237605583488</v>
      </c>
      <c r="J24" s="89">
        <f t="shared" si="1"/>
        <v>0.98</v>
      </c>
      <c r="K24" s="46">
        <f>VLOOKUP($A24,'SWIR data'!$A$5:$K$795,11)/100</f>
        <v>0.7</v>
      </c>
      <c r="L24" s="90">
        <f t="shared" ca="1" si="2"/>
        <v>1.44198551615744</v>
      </c>
      <c r="N24" s="6">
        <f t="shared" si="3"/>
        <v>0.26829268292682951</v>
      </c>
    </row>
    <row r="25" spans="1:14" ht="15">
      <c r="A25" s="79">
        <f t="shared" si="4"/>
        <v>1.0097560975609758</v>
      </c>
      <c r="B25" s="83">
        <f>IF($A25&lt;&gt;"",IF($E$5="pAu",VLOOKUP(A25,pAg!$A$2:$C$47,3),VLOOKUP(A25,pAg!$O$3:$P1215,2)),"")</f>
        <v>0.97480157236363629</v>
      </c>
      <c r="C25" s="83">
        <f>VLOOKUP(A25,pAg!$A$7:$C$47,3)</f>
        <v>0.99</v>
      </c>
      <c r="D25" s="87">
        <f ca="1">IF($A25&lt;&gt;"",1-VLOOKUP($N25,'AR sim'!$E$10:$F$38,2)*'Z087'!$E$10/'AR sim'!$D$42,"")</f>
        <v>0.9973482142857143</v>
      </c>
      <c r="E25" s="88">
        <f t="shared" si="7"/>
        <v>0.95</v>
      </c>
      <c r="F25" s="87">
        <f>IF($L$10=1, IF($K$10="R",VLOOKUP($A25,dichroic!$F$5:$H$1232,3),VLOOKUP($A25,dichroic!$F$5:$H$1232,2)),1)</f>
        <v>1</v>
      </c>
      <c r="G25" s="83">
        <f t="shared" ca="1" si="5"/>
        <v>0.62153276544438685</v>
      </c>
      <c r="H25" s="83">
        <f t="shared" si="6"/>
        <v>0.6647518222984562</v>
      </c>
      <c r="I25" s="83">
        <f t="shared" ca="1" si="0"/>
        <v>0.93498467337083113</v>
      </c>
      <c r="J25" s="89">
        <f t="shared" si="1"/>
        <v>0.98</v>
      </c>
      <c r="K25" s="46">
        <f>VLOOKUP($A25,'SWIR data'!$A$5:$K$795,11)/100</f>
        <v>0.70270741728834818</v>
      </c>
      <c r="L25" s="90">
        <f t="shared" ca="1" si="2"/>
        <v>1.4414940318953706</v>
      </c>
      <c r="N25" s="6">
        <f t="shared" si="3"/>
        <v>0.2926829268292685</v>
      </c>
    </row>
    <row r="26" spans="1:14" ht="15">
      <c r="A26" s="79">
        <f t="shared" si="4"/>
        <v>1.0439024390243905</v>
      </c>
      <c r="B26" s="83">
        <f>IF($A26&lt;&gt;"",IF($E$5="pAu",VLOOKUP(A26,pAg!$A$2:$C$47,3),VLOOKUP(A26,pAg!$O$3:$P1216,2)),"")</f>
        <v>0.97469708922272713</v>
      </c>
      <c r="C26" s="83">
        <f>VLOOKUP(A26,pAg!$A$7:$C$47,3)</f>
        <v>0.99</v>
      </c>
      <c r="D26" s="87">
        <f ca="1">IF($A26&lt;&gt;"",1-VLOOKUP($N26,'AR sim'!$E$10:$F$38,2)*'Z087'!$E$10/'AR sim'!$D$42,"")</f>
        <v>0.9973482142857143</v>
      </c>
      <c r="E26" s="88">
        <f t="shared" si="7"/>
        <v>0.95</v>
      </c>
      <c r="F26" s="87">
        <f>IF($L$10=1, IF($K$10="R",VLOOKUP($A26,dichroic!$F$5:$H$1232,3),VLOOKUP($A26,dichroic!$F$5:$H$1232,2)),1)</f>
        <v>1</v>
      </c>
      <c r="G26" s="83">
        <f t="shared" ca="1" si="5"/>
        <v>0.6204677278863524</v>
      </c>
      <c r="H26" s="83">
        <f t="shared" si="6"/>
        <v>0.66361272602408117</v>
      </c>
      <c r="I26" s="83">
        <f t="shared" ca="1" si="0"/>
        <v>0.93498467337083113</v>
      </c>
      <c r="J26" s="89">
        <f t="shared" si="1"/>
        <v>0.98</v>
      </c>
      <c r="K26" s="46">
        <f>VLOOKUP($A26,'SWIR data'!$A$5:$K$795,11)/100</f>
        <v>0.712903953738797</v>
      </c>
      <c r="L26" s="90">
        <f t="shared" ca="1" si="2"/>
        <v>1.4599046894134859</v>
      </c>
      <c r="N26" s="6">
        <f t="shared" si="3"/>
        <v>0.31707317073170754</v>
      </c>
    </row>
    <row r="27" spans="1:14" ht="15">
      <c r="A27" s="79">
        <f t="shared" si="4"/>
        <v>1.0780487804878052</v>
      </c>
      <c r="B27" s="83">
        <f>IF($A27&lt;&gt;"",IF($E$5="pAu",VLOOKUP(A27,pAg!$A$2:$C$47,3),VLOOKUP(A27,pAg!$O$3:$P1217,2)),"")</f>
        <v>0.97469466865909093</v>
      </c>
      <c r="C27" s="83">
        <f>VLOOKUP(A27,pAg!$A$7:$C$47,3)</f>
        <v>0.99</v>
      </c>
      <c r="D27" s="87">
        <f ca="1">IF($A27&lt;&gt;"",1-VLOOKUP($N27,'AR sim'!$E$10:$F$38,2)*'Z087'!$E$10/'AR sim'!$D$42,"")</f>
        <v>0.99690624999999999</v>
      </c>
      <c r="E27" s="88">
        <f t="shared" si="7"/>
        <v>0.95</v>
      </c>
      <c r="F27" s="87">
        <f>IF($L$10=1, IF($K$10="R",VLOOKUP($A27,dichroic!$F$5:$H$1232,3),VLOOKUP($A27,dichroic!$F$5:$H$1232,2)),1)</f>
        <v>1</v>
      </c>
      <c r="G27" s="83">
        <f t="shared" ca="1" si="5"/>
        <v>0.61879524429663413</v>
      </c>
      <c r="H27" s="83">
        <f t="shared" si="6"/>
        <v>0.66358635825205858</v>
      </c>
      <c r="I27" s="83">
        <f t="shared" ca="1" si="0"/>
        <v>0.93250145456062716</v>
      </c>
      <c r="J27" s="89">
        <f t="shared" si="1"/>
        <v>0.98</v>
      </c>
      <c r="K27" s="46">
        <f>VLOOKUP($A27,'SWIR data'!$A$5:$K$795,11)/100</f>
        <v>0.72540890475510655</v>
      </c>
      <c r="L27" s="90">
        <f t="shared" ca="1" si="2"/>
        <v>1.4815084483072305</v>
      </c>
      <c r="N27" s="6">
        <f t="shared" si="3"/>
        <v>0.34146341463414659</v>
      </c>
    </row>
    <row r="28" spans="1:14" ht="15">
      <c r="A28" s="79">
        <f t="shared" si="4"/>
        <v>1.1121951219512198</v>
      </c>
      <c r="B28" s="83">
        <f>IF($A28&lt;&gt;"",IF($E$5="pAu",VLOOKUP(A28,pAg!$A$2:$C$47,3),VLOOKUP(A28,pAg!$O$3:$P1218,2)),"")</f>
        <v>0.97486867245000008</v>
      </c>
      <c r="C28" s="83">
        <f>VLOOKUP(A28,pAg!$A$7:$C$47,3)</f>
        <v>0.99</v>
      </c>
      <c r="D28" s="87">
        <f ca="1">IF($A28&lt;&gt;"",1-VLOOKUP($N28,'AR sim'!$E$10:$F$38,2)*'Z087'!$E$10/'AR sim'!$D$42,"")</f>
        <v>0.99646428571428569</v>
      </c>
      <c r="E28" s="88">
        <f t="shared" si="7"/>
        <v>0.95</v>
      </c>
      <c r="F28" s="87">
        <f>IF($L$10=1, IF($K$10="R",VLOOKUP($A28,dichroic!$F$5:$H$1232,3),VLOOKUP($A28,dichroic!$F$5:$H$1232,2)),1)</f>
        <v>1</v>
      </c>
      <c r="G28" s="83">
        <f t="shared" ca="1" si="5"/>
        <v>0.61891621910518102</v>
      </c>
      <c r="H28" s="83">
        <f t="shared" si="6"/>
        <v>0.66548432730969109</v>
      </c>
      <c r="I28" s="83">
        <f t="shared" ca="1" si="0"/>
        <v>0.93002373415348816</v>
      </c>
      <c r="J28" s="89">
        <f t="shared" si="1"/>
        <v>0.98</v>
      </c>
      <c r="K28" s="46">
        <f>VLOOKUP($A28,'SWIR data'!$A$5:$K$795,11)/100</f>
        <v>0.73881463430874572</v>
      </c>
      <c r="L28" s="90">
        <f t="shared" ca="1" si="2"/>
        <v>1.5091820659870929</v>
      </c>
      <c r="N28" s="6">
        <f t="shared" si="3"/>
        <v>0.36585365853658564</v>
      </c>
    </row>
    <row r="29" spans="1:14" ht="15">
      <c r="A29" s="79">
        <f t="shared" si="4"/>
        <v>1.1463414634146345</v>
      </c>
      <c r="B29" s="83">
        <f>IF($A29&lt;&gt;"",IF($E$5="pAu",VLOOKUP(A29,pAg!$A$2:$C$47,3),VLOOKUP(A29,pAg!$O$3:$P1219,2)),"")</f>
        <v>0.97522162065909102</v>
      </c>
      <c r="C29" s="83">
        <f>VLOOKUP(A29,pAg!$A$7:$C$47,3)</f>
        <v>0.99</v>
      </c>
      <c r="D29" s="87">
        <f ca="1">IF($A29&lt;&gt;"",1-VLOOKUP($N29,'AR sim'!$E$10:$F$38,2)*'Z087'!$E$10/'AR sim'!$D$42,"")</f>
        <v>0.99646428571428569</v>
      </c>
      <c r="E29" s="88">
        <f t="shared" si="7"/>
        <v>0.95</v>
      </c>
      <c r="F29" s="87">
        <f>IF($L$10=1, IF($K$10="R",VLOOKUP($A29,dichroic!$F$5:$H$1232,3),VLOOKUP($A29,dichroic!$F$5:$H$1232,2)),1)</f>
        <v>1</v>
      </c>
      <c r="G29" s="83">
        <f t="shared" ca="1" si="5"/>
        <v>0.62251119819054734</v>
      </c>
      <c r="H29" s="83">
        <f t="shared" si="6"/>
        <v>0.66934979756958557</v>
      </c>
      <c r="I29" s="83">
        <f t="shared" ca="1" si="0"/>
        <v>0.93002373415348816</v>
      </c>
      <c r="J29" s="89">
        <f t="shared" si="1"/>
        <v>0.98</v>
      </c>
      <c r="K29" s="46">
        <f>VLOOKUP($A29,'SWIR data'!$A$5:$K$795,11)/100</f>
        <v>0.75272405657638741</v>
      </c>
      <c r="L29" s="90">
        <f t="shared" ca="1" si="2"/>
        <v>1.5465260754894035</v>
      </c>
      <c r="N29" s="6">
        <f t="shared" si="3"/>
        <v>0.39024390243902468</v>
      </c>
    </row>
    <row r="30" spans="1:14" ht="15">
      <c r="A30" s="79">
        <f t="shared" si="4"/>
        <v>1.1804878048780492</v>
      </c>
      <c r="B30" s="83">
        <f>IF($A30&lt;&gt;"",IF($E$5="pAu",VLOOKUP(A30,pAg!$A$2:$C$47,3),VLOOKUP(A30,pAg!$O$3:$P1220,2)),"")</f>
        <v>0.97556745642727261</v>
      </c>
      <c r="C30" s="83">
        <f>VLOOKUP(A30,pAg!$A$7:$C$47,3)</f>
        <v>0.99</v>
      </c>
      <c r="D30" s="87">
        <f ca="1">IF($A30&lt;&gt;"",1-VLOOKUP($N30,'AR sim'!$E$10:$F$38,2)*'Z087'!$E$10/'AR sim'!$D$42,"")</f>
        <v>0.99602232142857139</v>
      </c>
      <c r="E30" s="88">
        <f t="shared" si="7"/>
        <v>0.95</v>
      </c>
      <c r="F30" s="87">
        <f>IF($L$10=1, IF($K$10="R",VLOOKUP($A30,dichroic!$F$5:$H$1232,3),VLOOKUP($A30,dichroic!$F$5:$H$1232,2)),1)</f>
        <v>1</v>
      </c>
      <c r="G30" s="83">
        <f t="shared" ca="1" si="5"/>
        <v>0.62438851203273593</v>
      </c>
      <c r="H30" s="83">
        <f t="shared" si="6"/>
        <v>0.67315778198144516</v>
      </c>
      <c r="I30" s="83">
        <f t="shared" ca="1" si="0"/>
        <v>0.92755150240534012</v>
      </c>
      <c r="J30" s="89">
        <f t="shared" si="1"/>
        <v>0.98</v>
      </c>
      <c r="K30" s="46">
        <f>VLOOKUP($A30,'SWIR data'!$A$5:$K$795,11)/100</f>
        <v>0.76681820590346295</v>
      </c>
      <c r="L30" s="90">
        <f t="shared" ca="1" si="2"/>
        <v>1.5802347287074319</v>
      </c>
      <c r="N30" s="6">
        <f t="shared" si="3"/>
        <v>0.41463414634146373</v>
      </c>
    </row>
    <row r="31" spans="1:14" ht="15">
      <c r="A31" s="79">
        <f t="shared" si="4"/>
        <v>1.2146341463414638</v>
      </c>
      <c r="B31" s="83">
        <f>IF($A31&lt;&gt;"",IF($E$5="pAu",VLOOKUP(A31,pAg!$A$2:$C$47,3),VLOOKUP(A31,pAg!$O$3:$P1221,2)),"")</f>
        <v>0.97595747652727272</v>
      </c>
      <c r="C31" s="83">
        <f>VLOOKUP(A31,pAg!$A$7:$C$47,3)</f>
        <v>0.99</v>
      </c>
      <c r="D31" s="87">
        <f ca="1">IF($A31&lt;&gt;"",1-VLOOKUP($N31,'AR sim'!$E$10:$F$38,2)*'Z087'!$E$10/'AR sim'!$D$42,"")</f>
        <v>0.9955803571428572</v>
      </c>
      <c r="E31" s="88">
        <f t="shared" si="7"/>
        <v>0.95</v>
      </c>
      <c r="F31" s="87">
        <f>IF($L$10=1, IF($K$10="R",VLOOKUP($A31,dichroic!$F$5:$H$1232,3),VLOOKUP($A31,dichroic!$F$5:$H$1232,2)),1)</f>
        <v>1</v>
      </c>
      <c r="G31" s="83">
        <f t="shared" ca="1" si="5"/>
        <v>0.62672331044994634</v>
      </c>
      <c r="H31" s="83">
        <f t="shared" si="6"/>
        <v>0.67747664279521813</v>
      </c>
      <c r="I31" s="83">
        <f t="shared" ca="1" si="0"/>
        <v>0.92508474958506715</v>
      </c>
      <c r="J31" s="89">
        <f t="shared" si="1"/>
        <v>0.98</v>
      </c>
      <c r="K31" s="46">
        <f>VLOOKUP($A31,'SWIR data'!$A$5:$K$795,11)/100</f>
        <v>0.77955115336793812</v>
      </c>
      <c r="L31" s="90">
        <f t="shared" ca="1" si="2"/>
        <v>1.6124815319427128</v>
      </c>
      <c r="N31" s="6">
        <f t="shared" si="3"/>
        <v>0.43902439024390277</v>
      </c>
    </row>
    <row r="32" spans="1:14" ht="15">
      <c r="A32" s="79">
        <f t="shared" si="4"/>
        <v>1.2487804878048785</v>
      </c>
      <c r="B32" s="83">
        <f>IF($A32&lt;&gt;"",IF($E$5="pAu",VLOOKUP(A32,pAg!$A$2:$C$47,3),VLOOKUP(A32,pAg!$O$3:$P1222,2)),"")</f>
        <v>0.97639677807272729</v>
      </c>
      <c r="C32" s="83">
        <f>VLOOKUP(A32,pAg!$A$7:$C$47,3)</f>
        <v>0.99</v>
      </c>
      <c r="D32" s="87">
        <f ca="1">IF($A32&lt;&gt;"",1-VLOOKUP($N32,'AR sim'!$E$10:$F$38,2)*'Z087'!$E$10/'AR sim'!$D$42,"")</f>
        <v>0.9955803571428572</v>
      </c>
      <c r="E32" s="88">
        <f t="shared" si="7"/>
        <v>0.95</v>
      </c>
      <c r="F32" s="87">
        <f>IF($L$10=1, IF($K$10="R",VLOOKUP($A32,dichroic!$F$5:$H$1232,3),VLOOKUP($A32,dichroic!$F$5:$H$1232,2)),1)</f>
        <v>1</v>
      </c>
      <c r="G32" s="83">
        <f t="shared" ca="1" si="5"/>
        <v>0.63125222803658876</v>
      </c>
      <c r="H32" s="83">
        <f t="shared" si="6"/>
        <v>0.682372321368099</v>
      </c>
      <c r="I32" s="83">
        <f t="shared" ca="1" si="0"/>
        <v>0.92508474958506715</v>
      </c>
      <c r="J32" s="89">
        <f t="shared" si="1"/>
        <v>0.98</v>
      </c>
      <c r="K32" s="46">
        <f>VLOOKUP($A32,'SWIR data'!$A$5:$K$795,11)/100</f>
        <v>0.79326113337427673</v>
      </c>
      <c r="L32" s="90">
        <f t="shared" ca="1" si="2"/>
        <v>1.6526975479079797</v>
      </c>
      <c r="N32" s="6">
        <f t="shared" si="3"/>
        <v>0.46341463414634182</v>
      </c>
    </row>
    <row r="33" spans="1:14" ht="15">
      <c r="A33" s="79">
        <f t="shared" si="4"/>
        <v>1.2829268292682932</v>
      </c>
      <c r="B33" s="83">
        <f>IF($A33&lt;&gt;"",IF($E$5="pAu",VLOOKUP(A33,pAg!$A$2:$C$47,3),VLOOKUP(A33,pAg!$O$3:$P1223,2)),"")</f>
        <v>0.97689103256363652</v>
      </c>
      <c r="C33" s="83">
        <f>VLOOKUP(A33,pAg!$A$7:$C$47,3)</f>
        <v>0.99</v>
      </c>
      <c r="D33" s="87">
        <f ca="1">IF($A33&lt;&gt;"",1-VLOOKUP($N33,'AR sim'!$E$10:$F$38,2)*'Z087'!$E$10/'AR sim'!$D$42,"")</f>
        <v>0.99513839285714289</v>
      </c>
      <c r="E33" s="88">
        <f t="shared" si="7"/>
        <v>0.95</v>
      </c>
      <c r="F33" s="87">
        <f>IF($L$10=1, IF($K$10="R",VLOOKUP($A33,dichroic!$F$5:$H$1232,3),VLOOKUP($A33,dichroic!$F$5:$H$1232,2)),1)</f>
        <v>1</v>
      </c>
      <c r="G33" s="83">
        <f t="shared" ca="1" si="5"/>
        <v>0.63469118124557833</v>
      </c>
      <c r="H33" s="83">
        <f t="shared" si="6"/>
        <v>0.68792005043487914</v>
      </c>
      <c r="I33" s="83">
        <f t="shared" ca="1" si="0"/>
        <v>0.92262346597449618</v>
      </c>
      <c r="J33" s="89">
        <f t="shared" si="1"/>
        <v>0.98</v>
      </c>
      <c r="K33" s="46">
        <f>VLOOKUP($A33,'SWIR data'!$A$5:$K$795,11)/100</f>
        <v>0.80647999750945076</v>
      </c>
      <c r="L33" s="90">
        <f t="shared" ca="1" si="2"/>
        <v>1.689391664555199</v>
      </c>
      <c r="N33" s="6">
        <f t="shared" si="3"/>
        <v>0.48780487804878087</v>
      </c>
    </row>
    <row r="34" spans="1:14" ht="15">
      <c r="A34" s="79">
        <f t="shared" si="4"/>
        <v>1.3170731707317078</v>
      </c>
      <c r="B34" s="83">
        <f>IF($A34&lt;&gt;"",IF($E$5="pAu",VLOOKUP(A34,pAg!$A$2:$C$47,3),VLOOKUP(A34,pAg!$O$3:$P1224,2)),"")</f>
        <v>0.97730665582272724</v>
      </c>
      <c r="C34" s="83">
        <f>VLOOKUP(A34,pAg!$A$7:$C$47,3)</f>
        <v>0.99</v>
      </c>
      <c r="D34" s="87">
        <f ca="1">IF($A34&lt;&gt;"",1-VLOOKUP($N34,'AR sim'!$E$10:$F$38,2)*'Z087'!$E$10/'AR sim'!$D$42,"")</f>
        <v>0.99469642857142859</v>
      </c>
      <c r="E34" s="88">
        <f t="shared" si="7"/>
        <v>0.95</v>
      </c>
      <c r="F34" s="87">
        <f>IF($L$10=1, IF($K$10="R",VLOOKUP($A34,dichroic!$F$5:$H$1232,3),VLOOKUP($A34,dichroic!$F$5:$H$1232,2)),1)</f>
        <v>1</v>
      </c>
      <c r="G34" s="83">
        <f t="shared" ca="1" si="5"/>
        <v>0.63732456882471156</v>
      </c>
      <c r="H34" s="83">
        <f t="shared" si="6"/>
        <v>0.69261788811724712</v>
      </c>
      <c r="I34" s="83">
        <f t="shared" ca="1" si="0"/>
        <v>0.92016764186838984</v>
      </c>
      <c r="J34" s="89">
        <f t="shared" si="1"/>
        <v>0.98</v>
      </c>
      <c r="K34" s="46">
        <f>VLOOKUP($A34,'SWIR data'!$A$5:$K$795,11)/100</f>
        <v>0.81905299129355669</v>
      </c>
      <c r="L34" s="90">
        <f t="shared" ca="1" si="2"/>
        <v>1.7228479252163587</v>
      </c>
      <c r="N34" s="6">
        <f t="shared" si="3"/>
        <v>0.51219512195121997</v>
      </c>
    </row>
    <row r="35" spans="1:14" ht="15">
      <c r="A35" s="79">
        <f t="shared" si="4"/>
        <v>1.3512195121951225</v>
      </c>
      <c r="B35" s="83">
        <f>IF($A35&lt;&gt;"",IF($E$5="pAu",VLOOKUP(A35,pAg!$A$2:$C$47,3),VLOOKUP(A35,pAg!$O$3:$P1225,2)),"")</f>
        <v>0.97777523117272724</v>
      </c>
      <c r="C35" s="83">
        <f>VLOOKUP(A35,pAg!$A$7:$C$47,3)</f>
        <v>0.99</v>
      </c>
      <c r="D35" s="87">
        <f ca="1">IF($A35&lt;&gt;"",1-VLOOKUP($N35,'AR sim'!$E$10:$F$38,2)*'Z087'!$E$10/'AR sim'!$D$42,"")</f>
        <v>0.99513839285714289</v>
      </c>
      <c r="E35" s="88">
        <f t="shared" si="7"/>
        <v>0.95</v>
      </c>
      <c r="F35" s="87">
        <f>IF($L$10=1, IF($K$10="R",VLOOKUP($A35,dichroic!$F$5:$H$1232,3),VLOOKUP($A35,dichroic!$F$5:$H$1232,2)),1)</f>
        <v>1</v>
      </c>
      <c r="G35" s="83">
        <f t="shared" ca="1" si="5"/>
        <v>0.64394533567387058</v>
      </c>
      <c r="H35" s="83">
        <f t="shared" si="6"/>
        <v>0.69795031171651445</v>
      </c>
      <c r="I35" s="83">
        <f t="shared" ca="1" si="0"/>
        <v>0.92262346597449618</v>
      </c>
      <c r="J35" s="89">
        <f t="shared" si="1"/>
        <v>0.98</v>
      </c>
      <c r="K35" s="46">
        <f>VLOOKUP($A35,'SWIR data'!$A$5:$K$795,11)/100</f>
        <v>0.82985074183990937</v>
      </c>
      <c r="L35" s="90">
        <f t="shared" ca="1" si="2"/>
        <v>1.7636941361463863</v>
      </c>
      <c r="N35" s="6">
        <f t="shared" si="3"/>
        <v>0.53658536585365901</v>
      </c>
    </row>
    <row r="36" spans="1:14" ht="15">
      <c r="A36" s="79">
        <f t="shared" si="4"/>
        <v>1.3853658536585371</v>
      </c>
      <c r="B36" s="83">
        <f>IF($A36&lt;&gt;"",IF($E$5="pAu",VLOOKUP(A36,pAg!$A$2:$C$47,3),VLOOKUP(A36,pAg!$O$3:$P1226,2)),"")</f>
        <v>0.97823136450000003</v>
      </c>
      <c r="C36" s="83">
        <f>VLOOKUP(A36,pAg!$A$7:$C$47,3)</f>
        <v>0.99</v>
      </c>
      <c r="D36" s="87">
        <f ca="1">IF($A36&lt;&gt;"",1-VLOOKUP($N36,'AR sim'!$E$10:$F$38,2)*'Z087'!$E$10/'AR sim'!$D$42,"")</f>
        <v>0.99513839285714289</v>
      </c>
      <c r="E36" s="88">
        <f t="shared" si="7"/>
        <v>0.95</v>
      </c>
      <c r="F36" s="87">
        <f>IF($L$10=1, IF($K$10="R",VLOOKUP($A36,dichroic!$F$5:$H$1232,3),VLOOKUP($A36,dichroic!$F$5:$H$1232,2)),1)</f>
        <v>1</v>
      </c>
      <c r="G36" s="83">
        <f t="shared" ca="1" si="5"/>
        <v>0.64876860928600266</v>
      </c>
      <c r="H36" s="83">
        <f t="shared" si="6"/>
        <v>0.70317809291871669</v>
      </c>
      <c r="I36" s="83">
        <f t="shared" ca="1" si="0"/>
        <v>0.92262346597449618</v>
      </c>
      <c r="J36" s="89">
        <f t="shared" si="1"/>
        <v>0.98</v>
      </c>
      <c r="K36" s="46">
        <f>VLOOKUP($A36,'SWIR data'!$A$5:$K$795,11)/100</f>
        <v>0.84095029983817071</v>
      </c>
      <c r="L36" s="90">
        <f t="shared" ca="1" si="2"/>
        <v>1.8006712921265748</v>
      </c>
      <c r="N36" s="6">
        <f t="shared" si="3"/>
        <v>0.56097560975609806</v>
      </c>
    </row>
    <row r="37" spans="1:14" ht="15">
      <c r="A37" s="79">
        <f t="shared" si="4"/>
        <v>1.4195121951219518</v>
      </c>
      <c r="B37" s="83">
        <f>IF($A37&lt;&gt;"",IF($E$5="pAu",VLOOKUP(A37,pAg!$A$2:$C$47,3),VLOOKUP(A37,pAg!$O$3:$P1227,2)),"")</f>
        <v>0.97829194462272728</v>
      </c>
      <c r="C37" s="83">
        <f>VLOOKUP(A37,pAg!$A$7:$C$47,3)</f>
        <v>0.99</v>
      </c>
      <c r="D37" s="87">
        <f ca="1">IF($A37&lt;&gt;"",1-VLOOKUP($N37,'AR sim'!$E$10:$F$38,2)*'Z087'!$E$10/'AR sim'!$D$42,"")</f>
        <v>0.9955803571428572</v>
      </c>
      <c r="E37" s="88">
        <f t="shared" si="7"/>
        <v>0.95</v>
      </c>
      <c r="F37" s="87">
        <f>IF($L$10=1, IF($K$10="R",VLOOKUP($A37,dichroic!$F$5:$H$1232,3),VLOOKUP($A37,dichroic!$F$5:$H$1232,2)),1)</f>
        <v>1</v>
      </c>
      <c r="G37" s="83">
        <f t="shared" ca="1" si="5"/>
        <v>0.65114417765866761</v>
      </c>
      <c r="H37" s="83">
        <f t="shared" si="6"/>
        <v>0.70387516165489539</v>
      </c>
      <c r="I37" s="83">
        <f t="shared" ca="1" si="0"/>
        <v>0.92508474958506715</v>
      </c>
      <c r="J37" s="89">
        <f t="shared" si="1"/>
        <v>0.98</v>
      </c>
      <c r="K37" s="46">
        <f>VLOOKUP($A37,'SWIR data'!$A$5:$K$795,11)/100</f>
        <v>0.85120068177562191</v>
      </c>
      <c r="L37" s="90">
        <f t="shared" ca="1" si="2"/>
        <v>1.8292935665463299</v>
      </c>
      <c r="N37" s="6">
        <f t="shared" si="3"/>
        <v>0.58536585365853711</v>
      </c>
    </row>
    <row r="38" spans="1:14" ht="15">
      <c r="A38" s="79">
        <f t="shared" si="4"/>
        <v>1.4536585365853665</v>
      </c>
      <c r="B38" s="83">
        <f>IF($A38&lt;&gt;"",IF($E$5="pAu",VLOOKUP(A38,pAg!$A$2:$C$47,3),VLOOKUP(A38,pAg!$O$3:$P1228,2)),"")</f>
        <v>0.97912988115909083</v>
      </c>
      <c r="C38" s="83">
        <f>VLOOKUP(A38,pAg!$A$7:$C$47,3)</f>
        <v>0.99</v>
      </c>
      <c r="D38" s="87">
        <f ca="1">IF($A38&lt;&gt;"",1-VLOOKUP($N38,'AR sim'!$E$10:$F$38,2)*'Z087'!$E$10/'AR sim'!$D$42,"")</f>
        <v>0.99602232142857139</v>
      </c>
      <c r="E38" s="88">
        <f t="shared" si="7"/>
        <v>0.95</v>
      </c>
      <c r="F38" s="87">
        <f>IF($L$10=1, IF($K$10="R",VLOOKUP($A38,dichroic!$F$5:$H$1232,3),VLOOKUP($A38,dichroic!$F$5:$H$1232,2)),1)</f>
        <v>1</v>
      </c>
      <c r="G38" s="83">
        <f t="shared" ca="1" si="5"/>
        <v>0.66188556061782133</v>
      </c>
      <c r="H38" s="83">
        <f t="shared" si="6"/>
        <v>0.71358362193518099</v>
      </c>
      <c r="I38" s="83">
        <f t="shared" ca="1" si="0"/>
        <v>0.92755150240534012</v>
      </c>
      <c r="J38" s="89">
        <f t="shared" si="1"/>
        <v>0.98</v>
      </c>
      <c r="K38" s="46">
        <f>VLOOKUP($A38,'SWIR data'!$A$5:$K$795,11)/100</f>
        <v>0.86058169211690594</v>
      </c>
      <c r="L38" s="90">
        <f t="shared" ca="1" si="2"/>
        <v>1.8799629579781361</v>
      </c>
      <c r="N38" s="6">
        <f t="shared" si="3"/>
        <v>0.60975609756097615</v>
      </c>
    </row>
    <row r="39" spans="1:14" ht="15">
      <c r="A39" s="79">
        <f t="shared" si="4"/>
        <v>1.4878048780487811</v>
      </c>
      <c r="B39" s="83">
        <f>IF($A39&lt;&gt;"",IF($E$5="pAu",VLOOKUP(A39,pAg!$A$2:$C$47,3),VLOOKUP(A39,pAg!$O$3:$P1229,2)),"")</f>
        <v>0.97960590905909084</v>
      </c>
      <c r="C39" s="83">
        <f>VLOOKUP(A39,pAg!$A$7:$C$47,3)</f>
        <v>0.99</v>
      </c>
      <c r="D39" s="87">
        <f ca="1">IF($A39&lt;&gt;"",1-VLOOKUP($N39,'AR sim'!$E$10:$F$38,2)*'Z087'!$E$10/'AR sim'!$D$42,"")</f>
        <v>0.99602232142857139</v>
      </c>
      <c r="E39" s="88">
        <f t="shared" si="7"/>
        <v>0.95</v>
      </c>
      <c r="F39" s="87">
        <f>IF($L$10=1, IF($K$10="R",VLOOKUP($A39,dichroic!$F$5:$H$1232,3),VLOOKUP($A39,dichroic!$F$5:$H$1232,2)),1)</f>
        <v>1</v>
      </c>
      <c r="G39" s="83">
        <f t="shared" ca="1" si="5"/>
        <v>0.66705304614776295</v>
      </c>
      <c r="H39" s="83">
        <f t="shared" si="6"/>
        <v>0.71915472555211346</v>
      </c>
      <c r="I39" s="83">
        <f t="shared" ca="1" si="0"/>
        <v>0.92755150240534012</v>
      </c>
      <c r="J39" s="89">
        <f t="shared" si="1"/>
        <v>0.98</v>
      </c>
      <c r="K39" s="46">
        <f>VLOOKUP($A39,'SWIR data'!$A$5:$K$795,11)/100</f>
        <v>0.86840114631924847</v>
      </c>
      <c r="L39" s="90">
        <f t="shared" ca="1" si="2"/>
        <v>1.9118554017586684</v>
      </c>
      <c r="N39" s="6">
        <f t="shared" si="3"/>
        <v>0.6341463414634152</v>
      </c>
    </row>
    <row r="40" spans="1:14" ht="15">
      <c r="A40" s="79">
        <f t="shared" si="4"/>
        <v>1.5219512195121958</v>
      </c>
      <c r="B40" s="83">
        <f>IF($A40&lt;&gt;"",IF($E$5="pAu",VLOOKUP(A40,pAg!$A$2:$C$47,3),VLOOKUP(A40,pAg!$O$3:$P1230,2)),"")</f>
        <v>0.97990817920454543</v>
      </c>
      <c r="C40" s="83">
        <f>VLOOKUP(A40,pAg!$A$7:$C$47,3)</f>
        <v>0.99</v>
      </c>
      <c r="D40" s="87">
        <f ca="1">IF($A40&lt;&gt;"",1-VLOOKUP($N40,'AR sim'!$E$10:$F$38,2)*'Z087'!$E$10/'AR sim'!$D$42,"")</f>
        <v>0.99646428571428569</v>
      </c>
      <c r="E40" s="88">
        <f t="shared" si="7"/>
        <v>0.95</v>
      </c>
      <c r="F40" s="87">
        <f>IF($L$10=1, IF($K$10="R",VLOOKUP($A40,dichroic!$F$5:$H$1232,3),VLOOKUP($A40,dichroic!$F$5:$H$1232,2)),1)</f>
        <v>1</v>
      </c>
      <c r="G40" s="83">
        <f t="shared" ca="1" si="5"/>
        <v>0.67214063982153616</v>
      </c>
      <c r="H40" s="83">
        <f t="shared" si="6"/>
        <v>0.72271342669907412</v>
      </c>
      <c r="I40" s="83">
        <f t="shared" ca="1" si="0"/>
        <v>0.93002373415348816</v>
      </c>
      <c r="J40" s="89">
        <f t="shared" si="1"/>
        <v>0.98</v>
      </c>
      <c r="K40" s="46">
        <f>VLOOKUP($A40,'SWIR data'!$A$5:$K$795,11)/100</f>
        <v>0.874584621015569</v>
      </c>
      <c r="L40" s="90">
        <f t="shared" ca="1" si="2"/>
        <v>1.9401543149548228</v>
      </c>
      <c r="N40" s="6">
        <f t="shared" si="3"/>
        <v>0.65853658536585424</v>
      </c>
    </row>
    <row r="41" spans="1:14" ht="15">
      <c r="A41" s="79">
        <f t="shared" si="4"/>
        <v>1.5560975609756105</v>
      </c>
      <c r="B41" s="83">
        <f>IF($A41&lt;&gt;"",IF($E$5="pAu",VLOOKUP(A41,pAg!$A$2:$C$47,3),VLOOKUP(A41,pAg!$O$3:$P1231,2)),"")</f>
        <v>0.98036074229090897</v>
      </c>
      <c r="C41" s="83">
        <f>VLOOKUP(A41,pAg!$A$7:$C$47,3)</f>
        <v>0.99</v>
      </c>
      <c r="D41" s="87">
        <f ca="1">IF($A41&lt;&gt;"",1-VLOOKUP($N41,'AR sim'!$E$10:$F$38,2)*'Z087'!$E$10/'AR sim'!$D$42,"")</f>
        <v>0.99690624999999999</v>
      </c>
      <c r="E41" s="88">
        <f t="shared" si="7"/>
        <v>0.95</v>
      </c>
      <c r="F41" s="87">
        <f>IF($L$10=1, IF($K$10="R",VLOOKUP($A41,dichroic!$F$5:$H$1232,3),VLOOKUP($A41,dichroic!$F$5:$H$1232,2)),1)</f>
        <v>1</v>
      </c>
      <c r="G41" s="83">
        <f t="shared" ca="1" si="5"/>
        <v>0.67892860896968632</v>
      </c>
      <c r="H41" s="83">
        <f t="shared" si="6"/>
        <v>0.7280724396184256</v>
      </c>
      <c r="I41" s="83">
        <f t="shared" ca="1" si="0"/>
        <v>0.93250145456062716</v>
      </c>
      <c r="J41" s="89">
        <f t="shared" si="1"/>
        <v>0.98</v>
      </c>
      <c r="K41" s="46">
        <f>VLOOKUP($A41,'SWIR data'!$A$5:$K$795,11)/100</f>
        <v>0.88072910194850906</v>
      </c>
      <c r="L41" s="90">
        <f t="shared" ca="1" si="2"/>
        <v>1.9735163972524106</v>
      </c>
      <c r="N41" s="6">
        <f t="shared" si="3"/>
        <v>0.68292682926829329</v>
      </c>
    </row>
    <row r="42" spans="1:14" ht="15">
      <c r="A42" s="79">
        <f t="shared" si="4"/>
        <v>1.5902439024390251</v>
      </c>
      <c r="B42" s="83">
        <f>IF($A42&lt;&gt;"",IF($E$5="pAu",VLOOKUP(A42,pAg!$A$2:$C$47,3),VLOOKUP(A42,pAg!$O$3:$P1232,2)),"")</f>
        <v>0.98062808070000007</v>
      </c>
      <c r="C42" s="83">
        <f>VLOOKUP(A42,pAg!$A$7:$C$47,3)</f>
        <v>0.99</v>
      </c>
      <c r="D42" s="87">
        <f ca="1">IF($A42&lt;&gt;"",1-VLOOKUP($N42,'AR sim'!$E$10:$F$38,2)*'Z087'!$E$10/'AR sim'!$D$42,"")</f>
        <v>0.99690624999999999</v>
      </c>
      <c r="E42" s="88">
        <f t="shared" si="7"/>
        <v>0.95</v>
      </c>
      <c r="F42" s="87">
        <f>IF($L$10=1, IF($K$10="R",VLOOKUP($A42,dichroic!$F$5:$H$1232,3),VLOOKUP($A42,dichroic!$F$5:$H$1232,2)),1)</f>
        <v>1</v>
      </c>
      <c r="G42" s="83">
        <f t="shared" ca="1" si="5"/>
        <v>0.68189691027059385</v>
      </c>
      <c r="H42" s="83">
        <f t="shared" si="6"/>
        <v>0.73125559958712105</v>
      </c>
      <c r="I42" s="83">
        <f t="shared" ca="1" si="0"/>
        <v>0.93250145456062716</v>
      </c>
      <c r="J42" s="89">
        <f t="shared" si="1"/>
        <v>0.98</v>
      </c>
      <c r="K42" s="46">
        <f>VLOOKUP($A42,'SWIR data'!$A$5:$K$795,11)/100</f>
        <v>0.88621462644875737</v>
      </c>
      <c r="L42" s="90">
        <f t="shared" ca="1" si="2"/>
        <v>1.9944902553534214</v>
      </c>
      <c r="N42" s="6">
        <f t="shared" si="3"/>
        <v>0.70731707317073234</v>
      </c>
    </row>
    <row r="43" spans="1:14" ht="15">
      <c r="A43" s="79">
        <f t="shared" si="4"/>
        <v>1.6243902439024398</v>
      </c>
      <c r="B43" s="83">
        <f>IF($A43&lt;&gt;"",IF($E$5="pAu",VLOOKUP(A43,pAg!$A$2:$C$47,3),VLOOKUP(A43,pAg!$O$3:$P1233,2)),"")</f>
        <v>0.98098853844545442</v>
      </c>
      <c r="C43" s="83">
        <f>VLOOKUP(A43,pAg!$A$7:$C$47,3)</f>
        <v>0.99</v>
      </c>
      <c r="D43" s="87">
        <f ca="1">IF($A43&lt;&gt;"",1-VLOOKUP($N43,'AR sim'!$E$10:$F$38,2)*'Z087'!$E$10/'AR sim'!$D$42,"")</f>
        <v>0.9973482142857143</v>
      </c>
      <c r="E43" s="88">
        <f t="shared" si="7"/>
        <v>0.95</v>
      </c>
      <c r="F43" s="87">
        <f>IF($L$10=1, IF($K$10="R",VLOOKUP($A43,dichroic!$F$5:$H$1232,3),VLOOKUP($A43,dichroic!$F$5:$H$1232,2)),1)</f>
        <v>1</v>
      </c>
      <c r="G43" s="83">
        <f t="shared" ca="1" si="5"/>
        <v>0.68774497174265203</v>
      </c>
      <c r="H43" s="83">
        <f t="shared" si="6"/>
        <v>0.73556817703029931</v>
      </c>
      <c r="I43" s="83">
        <f t="shared" ca="1" si="0"/>
        <v>0.93498467337083113</v>
      </c>
      <c r="J43" s="89">
        <f t="shared" si="1"/>
        <v>0.98</v>
      </c>
      <c r="K43" s="46">
        <f>VLOOKUP($A43,'SWIR data'!$A$5:$K$795,11)/100</f>
        <v>0.89109570389217807</v>
      </c>
      <c r="L43" s="90">
        <f t="shared" ca="1" si="2"/>
        <v>2.0226747656272082</v>
      </c>
      <c r="N43" s="6">
        <f t="shared" si="3"/>
        <v>0.73170731707317138</v>
      </c>
    </row>
    <row r="44" spans="1:14" ht="15">
      <c r="A44" s="79">
        <f t="shared" si="4"/>
        <v>1.6585365853658545</v>
      </c>
      <c r="B44" s="83">
        <f>IF($A44&lt;&gt;"",IF($E$5="pAu",VLOOKUP(A44,pAg!$A$2:$C$47,3),VLOOKUP(A44,pAg!$O$3:$P1234,2)),"")</f>
        <v>0.9812215511636363</v>
      </c>
      <c r="C44" s="83">
        <f>VLOOKUP(A44,pAg!$A$7:$C$47,3)</f>
        <v>0.99</v>
      </c>
      <c r="D44" s="87">
        <f ca="1">IF($A44&lt;&gt;"",1-VLOOKUP($N44,'AR sim'!$E$10:$F$38,2)*'Z087'!$E$10/'AR sim'!$D$42,"")</f>
        <v>0.99712723214285715</v>
      </c>
      <c r="E44" s="88">
        <f t="shared" si="7"/>
        <v>0.95</v>
      </c>
      <c r="F44" s="87">
        <f>IF($L$10=1, IF($K$10="R",VLOOKUP($A44,dichroic!$F$5:$H$1232,3),VLOOKUP($A44,dichroic!$F$5:$H$1232,2)),1)</f>
        <v>1</v>
      </c>
      <c r="G44" s="83">
        <f t="shared" ca="1" si="5"/>
        <v>0.68944610410225582</v>
      </c>
      <c r="H44" s="83">
        <f t="shared" si="6"/>
        <v>0.73836865690352804</v>
      </c>
      <c r="I44" s="83">
        <f t="shared" ca="1" si="0"/>
        <v>0.93374237605583488</v>
      </c>
      <c r="J44" s="89">
        <f t="shared" si="1"/>
        <v>0.98</v>
      </c>
      <c r="K44" s="46">
        <f>VLOOKUP($A44,'SWIR data'!$A$5:$K$795,11)/100</f>
        <v>0.89541913338360446</v>
      </c>
      <c r="L44" s="90">
        <f t="shared" ca="1" si="2"/>
        <v>2.0375157506313202</v>
      </c>
      <c r="N44" s="6">
        <f t="shared" si="3"/>
        <v>0.75609756097561043</v>
      </c>
    </row>
    <row r="45" spans="1:14" ht="15">
      <c r="A45" s="79">
        <f t="shared" si="4"/>
        <v>1.6926829268292691</v>
      </c>
      <c r="B45" s="83">
        <f>IF($A45&lt;&gt;"",IF($E$5="pAu",VLOOKUP(A45,pAg!$A$2:$C$47,3),VLOOKUP(A45,pAg!$O$3:$P1213,2)),"")</f>
        <v>0.98151583779090901</v>
      </c>
      <c r="C45" s="83">
        <f>VLOOKUP(A45,pAg!$A$7:$C$47,3)</f>
        <v>0.99</v>
      </c>
      <c r="D45" s="87">
        <f ca="1">IF($A45&lt;&gt;"",1-VLOOKUP($N45,'AR sim'!$E$10:$F$38,2)*'Z087'!$E$10/'AR sim'!$D$42,"")</f>
        <v>0.99712723214285715</v>
      </c>
      <c r="E45" s="88">
        <f t="shared" si="7"/>
        <v>0.95</v>
      </c>
      <c r="F45" s="87">
        <f>IF($L$10=1, IF($K$10="R",VLOOKUP($A45,dichroic!$F$5:$H$1232,3),VLOOKUP($A45,dichroic!$F$5:$H$1232,2)),1)</f>
        <v>1</v>
      </c>
      <c r="G45" s="83">
        <f t="shared" ca="1" si="5"/>
        <v>0.69276200024791756</v>
      </c>
      <c r="H45" s="83">
        <f t="shared" si="6"/>
        <v>0.74191984642934583</v>
      </c>
      <c r="I45" s="83">
        <f t="shared" ca="1" si="0"/>
        <v>0.93374237605583488</v>
      </c>
      <c r="J45" s="89">
        <f t="shared" si="1"/>
        <v>0.98</v>
      </c>
      <c r="K45" s="46">
        <f>VLOOKUP($A45,'SWIR data'!$A$5:$K$795,11)/100</f>
        <v>0.89889061395808822</v>
      </c>
      <c r="L45" s="90">
        <f t="shared" ca="1" si="2"/>
        <v>2.0552525029241839</v>
      </c>
      <c r="N45" s="6">
        <f t="shared" si="3"/>
        <v>0.78048780487804947</v>
      </c>
    </row>
    <row r="46" spans="1:14" ht="15">
      <c r="A46" s="79">
        <f t="shared" si="4"/>
        <v>1.7268292682926838</v>
      </c>
      <c r="B46" s="83">
        <f>IF($A46&lt;&gt;"",IF($E$5="pAu",VLOOKUP(A46,pAg!$A$2:$C$47,3),VLOOKUP(A46,pAg!$O$3:$P1214,2)),"")</f>
        <v>0.9817769836818182</v>
      </c>
      <c r="C46" s="83">
        <f>VLOOKUP(A46,pAg!$A$7:$C$47,3)</f>
        <v>0.99</v>
      </c>
      <c r="D46" s="87">
        <f ca="1">IF($A46&lt;&gt;"",1-VLOOKUP($N46,'AR sim'!$E$10:$F$38,2)*'Z087'!$E$10/'AR sim'!$D$42,"")</f>
        <v>0.99690624999999999</v>
      </c>
      <c r="E46" s="88">
        <f t="shared" si="7"/>
        <v>0.95</v>
      </c>
      <c r="F46" s="87">
        <f>IF($L$10=1, IF($K$10="R",VLOOKUP($A46,dichroic!$F$5:$H$1232,3),VLOOKUP($A46,dichroic!$F$5:$H$1232,2)),1)</f>
        <v>1</v>
      </c>
      <c r="G46" s="83">
        <f t="shared" ca="1" si="5"/>
        <v>0.69479240392230046</v>
      </c>
      <c r="H46" s="83">
        <f t="shared" si="6"/>
        <v>0.74508452563183436</v>
      </c>
      <c r="I46" s="83">
        <f t="shared" ca="1" si="0"/>
        <v>0.93250145456062716</v>
      </c>
      <c r="J46" s="89">
        <f t="shared" si="1"/>
        <v>0.98</v>
      </c>
      <c r="K46" s="46">
        <f>VLOOKUP($A46,'SWIR data'!$A$5:$K$795,11)/100</f>
        <v>0.90226056450681469</v>
      </c>
      <c r="L46" s="90">
        <f t="shared" ca="1" si="2"/>
        <v>2.0690039520765358</v>
      </c>
      <c r="N46" s="6">
        <f t="shared" si="3"/>
        <v>0.80487804878048852</v>
      </c>
    </row>
    <row r="47" spans="1:14" ht="15">
      <c r="A47" s="79">
        <f t="shared" si="4"/>
        <v>1.7609756097560985</v>
      </c>
      <c r="B47" s="83">
        <f>IF($A47&lt;&gt;"",IF($E$5="pAu",VLOOKUP(A47,pAg!$A$2:$C$47,3),VLOOKUP(A47,pAg!$O$3:$P1215,2)),"")</f>
        <v>0.98206553006363617</v>
      </c>
      <c r="C47" s="83">
        <f>VLOOKUP(A47,pAg!$A$7:$C$47,3)</f>
        <v>0.99</v>
      </c>
      <c r="D47" s="87">
        <f ca="1">IF($A47&lt;&gt;"",1-VLOOKUP($N47,'AR sim'!$E$10:$F$38,2)*'Z087'!$E$10/'AR sim'!$D$42,"")</f>
        <v>0.99668526785714284</v>
      </c>
      <c r="E47" s="88">
        <f t="shared" si="7"/>
        <v>0.95</v>
      </c>
      <c r="F47" s="87">
        <f>IF($L$10=1, IF($K$10="R",VLOOKUP($A47,dichroic!$F$5:$H$1232,3),VLOOKUP($A47,dichroic!$F$5:$H$1232,2)),1)</f>
        <v>1</v>
      </c>
      <c r="G47" s="83">
        <f t="shared" ca="1" si="5"/>
        <v>0.69713891168875419</v>
      </c>
      <c r="H47" s="83">
        <f t="shared" si="6"/>
        <v>0.74859597063944106</v>
      </c>
      <c r="I47" s="83">
        <f t="shared" ca="1" si="0"/>
        <v>0.93126190766598305</v>
      </c>
      <c r="J47" s="89">
        <f t="shared" si="1"/>
        <v>0.98</v>
      </c>
      <c r="K47" s="46">
        <f>VLOOKUP($A47,'SWIR data'!$A$5:$K$795,11)/100</f>
        <v>0.90520006189791646</v>
      </c>
      <c r="L47" s="90">
        <f t="shared" ca="1" si="2"/>
        <v>2.0827549807036916</v>
      </c>
      <c r="N47" s="6">
        <f t="shared" si="3"/>
        <v>0.82926829268292757</v>
      </c>
    </row>
    <row r="48" spans="1:14" ht="15">
      <c r="A48" s="79">
        <f t="shared" si="4"/>
        <v>1.7951219512195131</v>
      </c>
      <c r="B48" s="83">
        <f>IF($A48&lt;&gt;"",IF($E$5="pAu",VLOOKUP(A48,pAg!$A$2:$C$47,3),VLOOKUP(A48,pAg!$O$3:$P1216,2)),"")</f>
        <v>0.98222546817272727</v>
      </c>
      <c r="C48" s="83">
        <f>VLOOKUP(A48,pAg!$A$7:$C$47,3)</f>
        <v>0.99</v>
      </c>
      <c r="D48" s="87">
        <f ca="1">IF($A48&lt;&gt;"",1-VLOOKUP($N48,'AR sim'!$E$10:$F$38,2)*'Z087'!$E$10/'AR sim'!$D$42,"")</f>
        <v>0.99668526785714284</v>
      </c>
      <c r="E48" s="88">
        <f t="shared" si="7"/>
        <v>0.95</v>
      </c>
      <c r="F48" s="87">
        <f>IF($L$10=1, IF($K$10="R",VLOOKUP($A48,dichroic!$F$5:$H$1232,3),VLOOKUP($A48,dichroic!$F$5:$H$1232,2)),1)</f>
        <v>1</v>
      </c>
      <c r="G48" s="83">
        <f t="shared" ca="1" si="5"/>
        <v>0.69895769659187934</v>
      </c>
      <c r="H48" s="83">
        <f t="shared" si="6"/>
        <v>0.7505490032805846</v>
      </c>
      <c r="I48" s="83">
        <f t="shared" ca="1" si="0"/>
        <v>0.93126190766598305</v>
      </c>
      <c r="J48" s="89">
        <f t="shared" si="1"/>
        <v>0.98</v>
      </c>
      <c r="K48" s="46">
        <f>VLOOKUP($A48,'SWIR data'!$A$5:$K$795,11)/100</f>
        <v>0.90774995331054886</v>
      </c>
      <c r="L48" s="90">
        <f t="shared" ca="1" si="2"/>
        <v>2.0940710333318919</v>
      </c>
      <c r="N48" s="6">
        <f t="shared" si="3"/>
        <v>0.85365853658536661</v>
      </c>
    </row>
    <row r="49" spans="1:14" ht="15">
      <c r="A49" s="79">
        <f t="shared" si="4"/>
        <v>1.8292682926829278</v>
      </c>
      <c r="B49" s="83">
        <f>IF($A49&lt;&gt;"",IF($E$5="pAu",VLOOKUP(A49,pAg!$A$2:$C$47,3),VLOOKUP(A49,pAg!$O$3:$P1217,2)),"")</f>
        <v>0.9818901414136364</v>
      </c>
      <c r="C49" s="83">
        <f>VLOOKUP(A49,pAg!$A$7:$C$47,3)</f>
        <v>0.99</v>
      </c>
      <c r="D49" s="87">
        <f ca="1">IF($A49&lt;&gt;"",1-VLOOKUP($N49,'AR sim'!$E$10:$F$38,2)*'Z087'!$E$10/'AR sim'!$D$42,"")</f>
        <v>0.99646428571428569</v>
      </c>
      <c r="E49" s="88">
        <f t="shared" si="7"/>
        <v>0.95</v>
      </c>
      <c r="F49" s="87">
        <f>IF($L$10=1, IF($K$10="R",VLOOKUP($A49,dichroic!$F$5:$H$1232,3),VLOOKUP($A49,dichroic!$F$5:$H$1232,2)),1)</f>
        <v>1</v>
      </c>
      <c r="G49" s="83">
        <f t="shared" ca="1" si="5"/>
        <v>0.69422528059677169</v>
      </c>
      <c r="H49" s="83">
        <f t="shared" si="6"/>
        <v>0.74645974624363609</v>
      </c>
      <c r="I49" s="83">
        <f t="shared" ca="1" si="0"/>
        <v>0.93002373415348816</v>
      </c>
      <c r="J49" s="89">
        <f t="shared" si="1"/>
        <v>0.98</v>
      </c>
      <c r="K49" s="46">
        <f>VLOOKUP($A49,'SWIR data'!$A$5:$K$795,11)/100</f>
        <v>0.90995170082446175</v>
      </c>
      <c r="L49" s="90">
        <f t="shared" ca="1" si="2"/>
        <v>2.0849375370498997</v>
      </c>
      <c r="N49" s="6">
        <f t="shared" si="3"/>
        <v>0.87804878048780577</v>
      </c>
    </row>
    <row r="50" spans="1:14" ht="15">
      <c r="A50" s="79">
        <f t="shared" si="4"/>
        <v>1.8634146341463425</v>
      </c>
      <c r="B50" s="83">
        <f>IF($A50&lt;&gt;"",IF($E$5="pAu",VLOOKUP(A50,pAg!$A$2:$C$47,3),VLOOKUP(A50,pAg!$O$3:$P1218,2)),"")</f>
        <v>0.98193660700909102</v>
      </c>
      <c r="C50" s="83">
        <f>VLOOKUP(A50,pAg!$A$7:$C$47,3)</f>
        <v>0.99</v>
      </c>
      <c r="D50" s="87">
        <f ca="1">IF($A50&lt;&gt;"",1-VLOOKUP($N50,'AR sim'!$E$10:$F$38,2)*'Z087'!$E$10/'AR sim'!$D$42,"")</f>
        <v>0.99513839285714289</v>
      </c>
      <c r="E50" s="88">
        <f t="shared" si="7"/>
        <v>0.95</v>
      </c>
      <c r="F50" s="87">
        <f>IF($L$10=1, IF($K$10="R",VLOOKUP($A50,dichroic!$F$5:$H$1232,3),VLOOKUP($A50,dichroic!$F$5:$H$1232,2)),1)</f>
        <v>1</v>
      </c>
      <c r="G50" s="83">
        <f t="shared" ca="1" si="5"/>
        <v>0.68922292157986242</v>
      </c>
      <c r="H50" s="83">
        <f t="shared" si="6"/>
        <v>0.74702513755369238</v>
      </c>
      <c r="I50" s="83">
        <f t="shared" ca="1" si="0"/>
        <v>0.92262346597449618</v>
      </c>
      <c r="J50" s="89">
        <f t="shared" si="1"/>
        <v>0.98</v>
      </c>
      <c r="K50" s="46">
        <f>VLOOKUP($A50,'SWIR data'!$A$5:$K$795,11)/100</f>
        <v>0.91169156447620547</v>
      </c>
      <c r="L50" s="90">
        <f t="shared" ca="1" si="2"/>
        <v>2.0738719207372069</v>
      </c>
      <c r="N50" s="6">
        <f t="shared" si="3"/>
        <v>0.90243902439024481</v>
      </c>
    </row>
    <row r="51" spans="1:14" ht="15">
      <c r="A51" s="79">
        <f t="shared" si="4"/>
        <v>1.8975609756097571</v>
      </c>
      <c r="B51" s="83">
        <f>IF($A51&lt;&gt;"",IF($E$5="pAu",VLOOKUP(A51,pAg!$A$2:$C$47,3),VLOOKUP(A51,pAg!$O$3:$P1219,2)),"")</f>
        <v>0.982001278390909</v>
      </c>
      <c r="C51" s="83">
        <f>VLOOKUP(A51,pAg!$A$7:$C$47,3)</f>
        <v>0.99</v>
      </c>
      <c r="D51" s="87">
        <f ca="1">IF($A51&lt;&gt;"",1-VLOOKUP($N51,'AR sim'!$E$10:$F$38,2)*'Z087'!$E$10/'AR sim'!$D$42,"")</f>
        <v>0.99513839285714289</v>
      </c>
      <c r="E51" s="88">
        <f t="shared" si="7"/>
        <v>0.95</v>
      </c>
      <c r="F51" s="87">
        <f>IF($L$10=1, IF($K$10="R",VLOOKUP($A51,dichroic!$F$5:$H$1232,3),VLOOKUP($A51,dichroic!$F$5:$H$1232,2)),1)</f>
        <v>1</v>
      </c>
      <c r="G51" s="83">
        <f t="shared" ca="1" si="5"/>
        <v>0.68994956763591242</v>
      </c>
      <c r="H51" s="83">
        <f t="shared" si="6"/>
        <v>0.74781272434597335</v>
      </c>
      <c r="I51" s="83">
        <f t="shared" ca="1" si="0"/>
        <v>0.92262346597449618</v>
      </c>
      <c r="J51" s="89">
        <f t="shared" si="1"/>
        <v>0.98</v>
      </c>
      <c r="K51" s="46">
        <f>VLOOKUP($A51,'SWIR data'!$A$5:$K$795,11)/100</f>
        <v>0.91335349147373646</v>
      </c>
      <c r="L51" s="90">
        <f t="shared" ca="1" si="2"/>
        <v>2.0798428558541358</v>
      </c>
      <c r="N51" s="6">
        <f t="shared" si="3"/>
        <v>0.92682926829268386</v>
      </c>
    </row>
    <row r="52" spans="1:14" ht="15">
      <c r="A52" s="79">
        <f t="shared" si="4"/>
        <v>1.9317073170731718</v>
      </c>
      <c r="B52" s="83">
        <f>IF($A52&lt;&gt;"",IF($E$5="pAu",VLOOKUP(A52,pAg!$A$2:$C$47,3),VLOOKUP(A52,pAg!$O$3:$P1220,2)),"")</f>
        <v>0.98219135233636368</v>
      </c>
      <c r="C52" s="83">
        <f>VLOOKUP(A52,pAg!$A$7:$C$47,3)</f>
        <v>0.99</v>
      </c>
      <c r="D52" s="87">
        <f ca="1">IF($A52&lt;&gt;"",1-VLOOKUP($N52,'AR sim'!$E$10:$F$38,2)*'Z087'!$E$10/'AR sim'!$D$42,"")</f>
        <v>0.99381249999999999</v>
      </c>
      <c r="E52" s="88">
        <f t="shared" si="7"/>
        <v>0.95</v>
      </c>
      <c r="F52" s="87">
        <f>IF($L$10=1, IF($K$10="R",VLOOKUP($A52,dichroic!$F$5:$H$1232,3),VLOOKUP($A52,dichroic!$F$5:$H$1232,2)),1)</f>
        <v>1</v>
      </c>
      <c r="G52" s="83">
        <f t="shared" ca="1" si="5"/>
        <v>0.68657507368374604</v>
      </c>
      <c r="H52" s="83">
        <f t="shared" si="6"/>
        <v>0.75013200838637728</v>
      </c>
      <c r="I52" s="83">
        <f t="shared" ca="1" si="0"/>
        <v>0.91527233341322178</v>
      </c>
      <c r="J52" s="89">
        <f t="shared" si="1"/>
        <v>0.98</v>
      </c>
      <c r="K52" s="46">
        <f>VLOOKUP($A52,'SWIR data'!$A$5:$K$795,11)/100</f>
        <v>0.91476824786537447</v>
      </c>
      <c r="L52" s="90">
        <f t="shared" ca="1" si="2"/>
        <v>2.0728763490790523</v>
      </c>
      <c r="N52" s="6">
        <f t="shared" si="3"/>
        <v>0.95121951219512291</v>
      </c>
    </row>
    <row r="53" spans="1:14" ht="15">
      <c r="A53" s="79">
        <f t="shared" si="4"/>
        <v>1.9658536585365864</v>
      </c>
      <c r="B53" s="83">
        <f>IF($A53&lt;&gt;"",IF($E$5="pAu",VLOOKUP(A53,pAg!$A$2:$C$47,3),VLOOKUP(A53,pAg!$O$3:$P1221,2)),"")</f>
        <v>0.98303408386818192</v>
      </c>
      <c r="C53" s="83">
        <f>VLOOKUP(A53,pAg!$A$7:$C$47,3)</f>
        <v>0.99</v>
      </c>
      <c r="D53" s="87">
        <f ca="1">IF($A53&lt;&gt;"",1-VLOOKUP($N53,'AR sim'!$E$10:$F$38,2)*'Z087'!$E$10/'AR sim'!$D$42,"")</f>
        <v>0.99248660714285719</v>
      </c>
      <c r="E53" s="88">
        <f t="shared" si="7"/>
        <v>0.95</v>
      </c>
      <c r="F53" s="87">
        <f>IF($L$10=1, IF($K$10="R",VLOOKUP($A53,dichroic!$F$5:$H$1232,3),VLOOKUP($A53,dichroic!$F$5:$H$1232,2)),1)</f>
        <v>1</v>
      </c>
      <c r="G53" s="83">
        <f t="shared" ca="1" si="5"/>
        <v>0.69050805842631324</v>
      </c>
      <c r="H53" s="83">
        <f t="shared" si="6"/>
        <v>0.76049649359965998</v>
      </c>
      <c r="I53" s="83">
        <f t="shared" ca="1" si="0"/>
        <v>0.90797007512543493</v>
      </c>
      <c r="J53" s="89">
        <f t="shared" si="1"/>
        <v>0.98</v>
      </c>
      <c r="K53" s="46">
        <f>VLOOKUP($A53,'SWIR data'!$A$5:$K$795,11)/100</f>
        <v>0.91597059097267386</v>
      </c>
      <c r="L53" s="90">
        <f t="shared" ca="1" si="2"/>
        <v>2.0874907701779351</v>
      </c>
      <c r="N53" s="6">
        <f t="shared" si="3"/>
        <v>0.97560975609756195</v>
      </c>
    </row>
    <row r="54" spans="1:14" ht="15">
      <c r="A54" s="79">
        <f t="shared" si="4"/>
        <v>2.0000000000000009</v>
      </c>
      <c r="B54" s="83">
        <f>IF($A54&lt;&gt;"",IF($E$5="pAu",VLOOKUP(A54,pAg!$A$2:$C$47,3),VLOOKUP(A54,pAg!$O$3:$P1222,2)),"")</f>
        <v>0.98315435132727291</v>
      </c>
      <c r="C54" s="81"/>
      <c r="D54" s="87">
        <f>IF($A54&lt;&gt;"",1-VLOOKUP($N54,'AR sim'!$E$10:$F$38,2)*IFU!$E$10/'AR sim'!$D$42,"")</f>
        <v>0.96192307692307688</v>
      </c>
      <c r="E54" s="88">
        <f t="shared" si="7"/>
        <v>0.95</v>
      </c>
      <c r="F54" s="87">
        <f>IF($L$10=1, IF($K$10="R",VLOOKUP($A54,dichroic!$F$5:$H$1232,3),VLOOKUP($A54,dichroic!$F$5:$H$1232,2)),1)</f>
        <v>1</v>
      </c>
      <c r="G54" s="83">
        <f t="shared" ref="G54" si="8">IF($A54&lt;&gt;"",$B54^$L$4*$D54^(2*($L$5))*$E54*$F54,"")</f>
        <v>0.57347297818352483</v>
      </c>
      <c r="H54" s="83">
        <f t="shared" ref="H54" si="9">IF($A54&lt;&gt;"",$B54^$L$4,"")</f>
        <v>0.7619865245862838</v>
      </c>
      <c r="I54" s="83">
        <f t="shared" ref="I54" si="10">IF($A54&lt;&gt;"",$D54^(2*($L$5))*$E54,"")</f>
        <v>0.75260251944073253</v>
      </c>
      <c r="J54" s="89">
        <f t="shared" ref="J54" si="11">IF($A54&lt;&gt;"",(1-$L$9),"")</f>
        <v>0.98</v>
      </c>
      <c r="K54" s="46">
        <f>VLOOKUP($A54,'SWIR data'!$A$5:$K$795,11)/100</f>
        <v>0.91700512221599983</v>
      </c>
      <c r="L54" s="90">
        <f t="shared" ref="L54" si="12">IF($A54&lt;&gt;"",G54*$K54*$J54*$O$5,"")</f>
        <v>1.73563741307536</v>
      </c>
      <c r="N54" s="6">
        <f t="shared" si="3"/>
        <v>1.0000000000000007</v>
      </c>
    </row>
    <row r="55" spans="1:14" ht="15">
      <c r="A55" s="80" t="s">
        <v>335</v>
      </c>
      <c r="B55" s="81">
        <f>AVERAGE(B13:B54)</f>
        <v>0.97918509394599573</v>
      </c>
      <c r="C55" s="81"/>
      <c r="D55" s="81">
        <f t="shared" ref="D55:L55" ca="1" si="13">AVERAGE(D13:D54)</f>
        <v>0.99460010302197843</v>
      </c>
      <c r="E55" s="81">
        <f t="shared" si="13"/>
        <v>0.95000000000000018</v>
      </c>
      <c r="F55" s="81">
        <f t="shared" si="13"/>
        <v>1</v>
      </c>
      <c r="G55" s="81">
        <f t="shared" ca="1" si="13"/>
        <v>0.65738639456152881</v>
      </c>
      <c r="H55" s="81">
        <f t="shared" si="13"/>
        <v>0.71492227021594557</v>
      </c>
      <c r="I55" s="81">
        <f t="shared" ca="1" si="13"/>
        <v>0.920053511927024</v>
      </c>
      <c r="J55" s="81">
        <f t="shared" si="13"/>
        <v>0.97999999999999954</v>
      </c>
      <c r="K55" s="81">
        <f t="shared" si="13"/>
        <v>0.81056106978255027</v>
      </c>
      <c r="L55" s="81">
        <f t="shared" ca="1" si="13"/>
        <v>1.763064225653741</v>
      </c>
    </row>
    <row r="56" spans="1:14" ht="15">
      <c r="A56" s="82" t="s">
        <v>370</v>
      </c>
      <c r="B56" s="83">
        <f>STDEV(B13:B54)</f>
        <v>2.8257534863792995E-3</v>
      </c>
      <c r="C56" s="83"/>
      <c r="D56" s="83">
        <f t="shared" ref="D56:L56" ca="1" si="14">STDEV(D13:D54)</f>
        <v>5.6579250959604777E-3</v>
      </c>
      <c r="E56" s="83">
        <f t="shared" si="14"/>
        <v>1.8617363201213607E-8</v>
      </c>
      <c r="F56" s="83">
        <f t="shared" si="14"/>
        <v>0</v>
      </c>
      <c r="G56" s="83">
        <f t="shared" ca="1" si="14"/>
        <v>2.9681794479235257E-2</v>
      </c>
      <c r="H56" s="83">
        <f t="shared" si="14"/>
        <v>3.281824306652837E-2</v>
      </c>
      <c r="I56" s="83">
        <f t="shared" ca="1" si="14"/>
        <v>2.9361396666378284E-2</v>
      </c>
      <c r="J56" s="83">
        <f t="shared" si="14"/>
        <v>2.9436635871219325E-8</v>
      </c>
      <c r="K56" s="83">
        <f t="shared" si="14"/>
        <v>8.2282718822413725E-2</v>
      </c>
      <c r="L56" s="83">
        <f t="shared" ca="1" si="14"/>
        <v>0.23405735966859537</v>
      </c>
    </row>
    <row r="57" spans="1:14" ht="15">
      <c r="A57" s="82" t="s">
        <v>336</v>
      </c>
      <c r="B57" s="83">
        <f>MIN(B13:B54)</f>
        <v>0.97469466865909093</v>
      </c>
      <c r="C57" s="83"/>
      <c r="D57" s="83">
        <f t="shared" ref="D57:L57" ca="1" si="15">MIN(D13:D54)</f>
        <v>0.96192307692307688</v>
      </c>
      <c r="E57" s="83">
        <f t="shared" si="15"/>
        <v>0.95</v>
      </c>
      <c r="F57" s="83">
        <f t="shared" si="15"/>
        <v>1</v>
      </c>
      <c r="G57" s="83">
        <f t="shared" ca="1" si="15"/>
        <v>0.57347297818352483</v>
      </c>
      <c r="H57" s="83">
        <f t="shared" si="15"/>
        <v>0.66358635825205858</v>
      </c>
      <c r="I57" s="83">
        <f t="shared" ca="1" si="15"/>
        <v>0.75260251944073253</v>
      </c>
      <c r="J57" s="83">
        <f t="shared" si="15"/>
        <v>0.98</v>
      </c>
      <c r="K57" s="83">
        <f t="shared" si="15"/>
        <v>0.7</v>
      </c>
      <c r="L57" s="83">
        <f t="shared" ca="1" si="15"/>
        <v>1.4414940318953706</v>
      </c>
    </row>
    <row r="58" spans="1:14" ht="15">
      <c r="A58" s="82" t="s">
        <v>337</v>
      </c>
      <c r="B58" s="83">
        <f>MAX(B13:B54)</f>
        <v>0.98315435132727291</v>
      </c>
      <c r="C58" s="83"/>
      <c r="D58" s="83">
        <f t="shared" ref="D58:L58" ca="1" si="16">MAX(D13:D54)</f>
        <v>0.9973482142857143</v>
      </c>
      <c r="E58" s="83">
        <f t="shared" si="16"/>
        <v>0.95</v>
      </c>
      <c r="F58" s="83">
        <f t="shared" si="16"/>
        <v>1</v>
      </c>
      <c r="G58" s="83">
        <f t="shared" ca="1" si="16"/>
        <v>0.69895769659187934</v>
      </c>
      <c r="H58" s="83">
        <f t="shared" si="16"/>
        <v>0.7619865245862838</v>
      </c>
      <c r="I58" s="83">
        <f t="shared" ca="1" si="16"/>
        <v>0.93498467337083113</v>
      </c>
      <c r="J58" s="83">
        <f t="shared" si="16"/>
        <v>0.98</v>
      </c>
      <c r="K58" s="83">
        <f t="shared" si="16"/>
        <v>0.91700512221599983</v>
      </c>
      <c r="L58" s="83">
        <f t="shared" ca="1" si="16"/>
        <v>2.0940710333318919</v>
      </c>
    </row>
  </sheetData>
  <mergeCells count="12">
    <mergeCell ref="A11:D11"/>
    <mergeCell ref="I1:J1"/>
    <mergeCell ref="H3:J3"/>
    <mergeCell ref="H4:K4"/>
    <mergeCell ref="A5:B5"/>
    <mergeCell ref="H5:K5"/>
    <mergeCell ref="H6:K6"/>
    <mergeCell ref="H7:K7"/>
    <mergeCell ref="H8:K8"/>
    <mergeCell ref="A9:B9"/>
    <mergeCell ref="H9:J9"/>
    <mergeCell ref="A10:B10"/>
  </mergeCells>
  <phoneticPr fontId="26" type="noConversion"/>
  <printOptions gridLines="1"/>
  <pageMargins left="0.24" right="0.19" top="0.62" bottom="0.7" header="0.5" footer="0.5"/>
  <headerFooter scaleWithDoc="0"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5" enableFormatConditionsCalculation="0">
    <pageSetUpPr fitToPage="1"/>
  </sheetPr>
  <dimension ref="A1:AD61"/>
  <sheetViews>
    <sheetView zoomScale="75" zoomScaleNormal="75" zoomScalePageLayoutView="75" workbookViewId="0">
      <selection activeCell="R7" sqref="R7"/>
    </sheetView>
  </sheetViews>
  <sheetFormatPr baseColWidth="10" defaultColWidth="8.83203125" defaultRowHeight="12"/>
  <cols>
    <col min="1" max="1" width="11.33203125" customWidth="1"/>
    <col min="2" max="2" width="12.6640625" customWidth="1"/>
    <col min="3" max="3" width="23.1640625" customWidth="1"/>
    <col min="4" max="4" width="10.6640625" customWidth="1"/>
    <col min="5" max="5" width="9.6640625" customWidth="1"/>
    <col min="6" max="6" width="9.83203125" customWidth="1"/>
    <col min="7" max="7" width="10.5" customWidth="1"/>
    <col min="8" max="8" width="12.5" customWidth="1"/>
    <col min="9" max="9" width="10.1640625" customWidth="1"/>
    <col min="10" max="10" width="9" customWidth="1"/>
    <col min="11" max="11" width="12" bestFit="1" customWidth="1"/>
    <col min="12" max="12" width="12.1640625" customWidth="1"/>
    <col min="13" max="13" width="10.33203125" customWidth="1"/>
  </cols>
  <sheetData>
    <row r="1" spans="1:30" ht="15.75" customHeight="1" thickBot="1">
      <c r="A1" s="30" t="s">
        <v>309</v>
      </c>
      <c r="F1" t="s">
        <v>238</v>
      </c>
      <c r="H1" s="211" t="s">
        <v>15</v>
      </c>
      <c r="I1" s="212"/>
    </row>
    <row r="2" spans="1:30" ht="13" customHeight="1" thickBot="1">
      <c r="A2" s="91" t="s">
        <v>334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30" ht="13">
      <c r="A3" s="91"/>
      <c r="B3" s="168" t="s">
        <v>310</v>
      </c>
      <c r="C3" s="168" t="s">
        <v>333</v>
      </c>
      <c r="D3" s="93">
        <v>0.4</v>
      </c>
      <c r="E3" s="128"/>
      <c r="F3" s="94"/>
      <c r="G3" s="213" t="s">
        <v>314</v>
      </c>
      <c r="H3" s="214"/>
      <c r="I3" s="214"/>
      <c r="J3" s="170" t="s">
        <v>323</v>
      </c>
      <c r="K3" s="93">
        <v>2.36</v>
      </c>
      <c r="L3" s="91" t="s">
        <v>237</v>
      </c>
      <c r="M3" s="91"/>
      <c r="N3" s="91"/>
    </row>
    <row r="4" spans="1:30" ht="13">
      <c r="A4" s="91"/>
      <c r="B4" s="168" t="s">
        <v>311</v>
      </c>
      <c r="C4" s="155" t="s">
        <v>338</v>
      </c>
      <c r="D4" s="157">
        <v>1</v>
      </c>
      <c r="E4" s="128"/>
      <c r="F4" s="94"/>
      <c r="G4" s="213" t="s">
        <v>313</v>
      </c>
      <c r="H4" s="213"/>
      <c r="I4" s="213"/>
      <c r="J4" s="213"/>
      <c r="K4" s="96">
        <v>12</v>
      </c>
      <c r="L4" s="91"/>
      <c r="M4" s="105" t="s">
        <v>321</v>
      </c>
      <c r="N4" s="97">
        <f>$K$3^2*PI()/4</f>
        <v>4.3743536108584271</v>
      </c>
    </row>
    <row r="5" spans="1:30" ht="58.25" customHeight="1">
      <c r="A5" s="215">
        <v>41064</v>
      </c>
      <c r="B5" s="216"/>
      <c r="C5" s="156" t="s">
        <v>4</v>
      </c>
      <c r="D5" s="99" t="s">
        <v>306</v>
      </c>
      <c r="E5" s="129"/>
      <c r="F5" s="94"/>
      <c r="G5" s="213" t="s">
        <v>195</v>
      </c>
      <c r="H5" s="213"/>
      <c r="I5" s="213"/>
      <c r="J5" s="213"/>
      <c r="K5" s="96">
        <v>1</v>
      </c>
      <c r="L5" s="91" t="s">
        <v>236</v>
      </c>
      <c r="M5" s="91"/>
      <c r="N5" s="97">
        <f>$N$4*(1-$K$6^2-$K$7-$K$8)</f>
        <v>3.5432264247953262</v>
      </c>
    </row>
    <row r="6" spans="1:30" ht="13">
      <c r="A6" s="91"/>
      <c r="B6" s="91"/>
      <c r="C6" s="91"/>
      <c r="D6" s="100"/>
      <c r="E6" s="130"/>
      <c r="F6" s="94"/>
      <c r="G6" s="213" t="s">
        <v>315</v>
      </c>
      <c r="H6" s="213"/>
      <c r="I6" s="213"/>
      <c r="J6" s="213"/>
      <c r="K6" s="96">
        <v>0.3</v>
      </c>
      <c r="L6" s="91"/>
      <c r="M6" s="91"/>
      <c r="N6" s="97"/>
    </row>
    <row r="7" spans="1:30" ht="13">
      <c r="A7" s="154"/>
      <c r="B7" s="133"/>
      <c r="C7" s="91" t="s">
        <v>333</v>
      </c>
      <c r="D7" s="126" t="s">
        <v>245</v>
      </c>
      <c r="E7" s="129"/>
      <c r="F7" s="91"/>
      <c r="G7" s="217" t="s">
        <v>235</v>
      </c>
      <c r="H7" s="217"/>
      <c r="I7" s="217"/>
      <c r="J7" s="217"/>
      <c r="K7" s="96">
        <v>0.06</v>
      </c>
      <c r="L7" s="91"/>
      <c r="M7" s="91"/>
      <c r="N7" s="91"/>
    </row>
    <row r="8" spans="1:30" ht="14" thickBot="1">
      <c r="A8" s="91" t="s">
        <v>248</v>
      </c>
      <c r="B8" s="91"/>
      <c r="C8" s="91"/>
      <c r="D8" s="127" t="s">
        <v>245</v>
      </c>
      <c r="E8" s="128"/>
      <c r="F8" s="102"/>
      <c r="G8" s="217" t="s">
        <v>234</v>
      </c>
      <c r="H8" s="217"/>
      <c r="I8" s="217"/>
      <c r="J8" s="217"/>
      <c r="K8" s="106">
        <v>0.04</v>
      </c>
      <c r="L8" s="91"/>
      <c r="M8" s="91"/>
      <c r="N8" s="91"/>
    </row>
    <row r="9" spans="1:30" ht="14" thickBot="1">
      <c r="A9" s="217" t="s">
        <v>312</v>
      </c>
      <c r="B9" s="218"/>
      <c r="C9" s="168" t="s">
        <v>333</v>
      </c>
      <c r="D9" s="103">
        <f>(D4-D3)/41</f>
        <v>1.4634146341463414E-2</v>
      </c>
      <c r="E9" s="103"/>
      <c r="F9" s="91"/>
      <c r="G9" s="217" t="s">
        <v>317</v>
      </c>
      <c r="H9" s="217"/>
      <c r="I9" s="217"/>
      <c r="J9" s="168"/>
      <c r="K9" s="101">
        <v>0.02</v>
      </c>
      <c r="L9" s="91"/>
      <c r="M9" s="91"/>
      <c r="N9" s="91"/>
    </row>
    <row r="10" spans="1:30" ht="14.25" customHeight="1">
      <c r="A10" s="217" t="s">
        <v>316</v>
      </c>
      <c r="B10" s="218"/>
      <c r="C10" s="169"/>
      <c r="D10" s="102">
        <f>(D4-D3)/((D3+D4)/2)</f>
        <v>0.85714285714285721</v>
      </c>
      <c r="E10" s="102"/>
      <c r="F10" s="91"/>
      <c r="G10" s="91"/>
      <c r="H10" s="91" t="s">
        <v>190</v>
      </c>
      <c r="I10" s="91"/>
      <c r="J10" s="104" t="s">
        <v>186</v>
      </c>
      <c r="K10" s="96">
        <v>0</v>
      </c>
      <c r="L10" s="91"/>
      <c r="M10" s="91"/>
      <c r="N10" s="91"/>
    </row>
    <row r="11" spans="1:30" ht="14.25" customHeight="1" thickBot="1">
      <c r="A11" s="219" t="s">
        <v>247</v>
      </c>
      <c r="B11" s="220"/>
      <c r="C11" s="220"/>
      <c r="D11" s="102">
        <v>0.95</v>
      </c>
      <c r="E11" s="102"/>
      <c r="F11" s="91"/>
      <c r="G11" s="91"/>
      <c r="H11" s="91"/>
      <c r="I11" s="91"/>
      <c r="J11" s="91"/>
      <c r="K11" s="91" t="s">
        <v>342</v>
      </c>
      <c r="L11" s="91"/>
      <c r="M11" s="91"/>
      <c r="N11" s="91"/>
    </row>
    <row r="12" spans="1:30" ht="64.5" customHeight="1">
      <c r="A12" s="84" t="s">
        <v>165</v>
      </c>
      <c r="B12" s="85" t="s">
        <v>0</v>
      </c>
      <c r="C12" s="85" t="s">
        <v>367</v>
      </c>
      <c r="D12" s="85" t="s">
        <v>196</v>
      </c>
      <c r="E12" s="85" t="s">
        <v>189</v>
      </c>
      <c r="F12" s="85" t="s">
        <v>191</v>
      </c>
      <c r="G12" s="85" t="s">
        <v>324</v>
      </c>
      <c r="H12" s="86" t="s">
        <v>325</v>
      </c>
      <c r="I12" s="85" t="s">
        <v>183</v>
      </c>
      <c r="J12" s="85" t="s">
        <v>341</v>
      </c>
      <c r="K12" s="85" t="s">
        <v>320</v>
      </c>
      <c r="M12" s="5" t="s">
        <v>322</v>
      </c>
    </row>
    <row r="13" spans="1:30" ht="15.75" customHeight="1">
      <c r="A13" s="78">
        <f>D3</f>
        <v>0.4</v>
      </c>
      <c r="B13" s="83">
        <f>IF($A13&lt;&gt;"",IF($D$5="pAu",VLOOKUP(A13,pAg!$A$2:$C$47,3),VLOOKUP(A13,pAg!$O$3:$P1203,2)),"")</f>
        <v>0.94457647183636373</v>
      </c>
      <c r="C13" s="87">
        <f>IF($A13&lt;&gt;"",1-VLOOKUP($M13,'AR sim'!$E$10:$F$38,2)*CoroImg!$D$10/'AR sim'!$D$42,"")</f>
        <v>0.95757142857142852</v>
      </c>
      <c r="D13" s="88">
        <v>0.95</v>
      </c>
      <c r="E13" s="87">
        <f>IF($K$10=1, IF($J$10="R",VLOOKUP($A13,dichroic!$F$5:$H$1232,3),VLOOKUP($A13,dichroic!$F$5:$H$1232,2)),1)</f>
        <v>1</v>
      </c>
      <c r="F13" s="83">
        <f>IF($A13&lt;&gt;"",$B13^$K$4*$C13^(2*($K$5))*$D13*$E13,"")</f>
        <v>0.43945200275922114</v>
      </c>
      <c r="G13" s="83">
        <f t="shared" ref="G13:G54" si="0">IF($A13&lt;&gt;"",$B13^$K$4,"")</f>
        <v>0.5044817779784887</v>
      </c>
      <c r="H13" s="83">
        <f t="shared" ref="H13:H54" si="1">IF($A13&lt;&gt;"",$C13^(2*($K$5))*$D13,"")</f>
        <v>0.87109588877551003</v>
      </c>
      <c r="I13" s="89">
        <f t="shared" ref="I13:I54" si="2">IF($A13&lt;&gt;"",(1-$K$9),"")</f>
        <v>0.98</v>
      </c>
      <c r="J13" s="46">
        <v>0.6</v>
      </c>
      <c r="K13" s="90">
        <f t="shared" ref="K13:K54" si="3">IF($A13&lt;&gt;"",F13*$J13*$I13*$N$5,"")</f>
        <v>0.9155618337801521</v>
      </c>
      <c r="M13" s="6">
        <f t="shared" ref="M13:M54" si="4">($A13-$D$3)/($D$4-$D$3)</f>
        <v>0</v>
      </c>
    </row>
    <row r="14" spans="1:30" ht="15.75" customHeight="1">
      <c r="A14" s="79">
        <f t="shared" ref="A14:A54" si="5">IF(A13&lt;&gt;"",IF(A13+$D$9&gt;$D$4,"",A13+$D$9),"")</f>
        <v>0.41463414634146345</v>
      </c>
      <c r="B14" s="83">
        <f>IF($A14&lt;&gt;"",IF($D$5="pAu",VLOOKUP(A14,pAg!$A$2:$C$47,3),VLOOKUP(A14,pAg!$O$3:$P1204,2)),"")</f>
        <v>0.96105801998636364</v>
      </c>
      <c r="C14" s="87">
        <f>IF($A14&lt;&gt;"",1-VLOOKUP($M14,'AR sim'!$E$10:$F$38,2)*CoroImg!$D$10/'AR sim'!$D$42,"")</f>
        <v>0.95757142857142852</v>
      </c>
      <c r="D14" s="88">
        <f>D13</f>
        <v>0.95</v>
      </c>
      <c r="E14" s="87">
        <f>IF($K$10=1, IF($J$10="R",VLOOKUP($A14,dichroic!$F$5:$H$1232,3),VLOOKUP($A14,dichroic!$F$5:$H$1232,2)),1)</f>
        <v>1</v>
      </c>
      <c r="F14" s="83">
        <f t="shared" ref="F14:F54" si="6">IF($A14&lt;&gt;"",$B14^$K$4*$C14^(2*($K$5))*$D14*$E14,"")</f>
        <v>0.54083059372780018</v>
      </c>
      <c r="G14" s="83">
        <f t="shared" si="0"/>
        <v>0.62086229621407107</v>
      </c>
      <c r="H14" s="83">
        <f t="shared" si="1"/>
        <v>0.87109588877551003</v>
      </c>
      <c r="I14" s="89">
        <f t="shared" si="2"/>
        <v>0.98</v>
      </c>
      <c r="J14" s="46">
        <v>0.62</v>
      </c>
      <c r="K14" s="90">
        <f t="shared" si="3"/>
        <v>1.1643349185283114</v>
      </c>
      <c r="M14" s="6">
        <f t="shared" si="4"/>
        <v>2.4390243902439046E-2</v>
      </c>
      <c r="Z14" s="4" t="s">
        <v>103</v>
      </c>
      <c r="AA14" s="4" t="s">
        <v>336</v>
      </c>
      <c r="AB14" s="4" t="s">
        <v>337</v>
      </c>
      <c r="AC14" s="4" t="s">
        <v>48</v>
      </c>
      <c r="AD14" s="4" t="s">
        <v>73</v>
      </c>
    </row>
    <row r="15" spans="1:30" ht="16.5" customHeight="1">
      <c r="A15" s="79">
        <f t="shared" si="5"/>
        <v>0.42926829268292688</v>
      </c>
      <c r="B15" s="83">
        <f>IF($A15&lt;&gt;"",IF($D$5="pAu",VLOOKUP(A15,pAg!$A$2:$C$47,3),VLOOKUP(A15,pAg!$O$3:$P1205,2)),"")</f>
        <v>0.96922516541818182</v>
      </c>
      <c r="C15" s="87">
        <f>IF($A15&lt;&gt;"",1-VLOOKUP($M15,'AR sim'!$E$10:$F$38,2)*CoroImg!$D$10/'AR sim'!$D$42,"")</f>
        <v>0.96666326530612245</v>
      </c>
      <c r="D15" s="88">
        <f t="shared" ref="D15:D54" si="7">D14</f>
        <v>0.95</v>
      </c>
      <c r="E15" s="87">
        <f>IF($K$10=1, IF($J$10="R",VLOOKUP($A15,dichroic!$F$5:$H$1232,3),VLOOKUP($A15,dichroic!$F$5:$H$1232,2)),1)</f>
        <v>1</v>
      </c>
      <c r="F15" s="83">
        <f t="shared" si="6"/>
        <v>0.61005672286442303</v>
      </c>
      <c r="G15" s="83">
        <f t="shared" si="0"/>
        <v>0.68722062010646123</v>
      </c>
      <c r="H15" s="83">
        <f t="shared" si="1"/>
        <v>0.88771597506768019</v>
      </c>
      <c r="I15" s="89">
        <f t="shared" si="2"/>
        <v>0.98</v>
      </c>
      <c r="J15" s="46">
        <v>0.64</v>
      </c>
      <c r="K15" s="90">
        <f t="shared" si="3"/>
        <v>1.3557361401956591</v>
      </c>
      <c r="M15" s="6">
        <f t="shared" si="4"/>
        <v>4.8780487804878092E-2</v>
      </c>
      <c r="Z15" s="152" t="s">
        <v>6</v>
      </c>
      <c r="AA15" s="46">
        <v>0.76</v>
      </c>
      <c r="AB15" s="46">
        <v>0.97699999999999998</v>
      </c>
      <c r="AC15" s="46">
        <f>0.5*(AA15+AB15)</f>
        <v>0.86850000000000005</v>
      </c>
      <c r="AD15" s="166">
        <f>AVERAGE(K17:K20)</f>
        <v>1.7337419381508128</v>
      </c>
    </row>
    <row r="16" spans="1:30" ht="14.25" customHeight="1">
      <c r="A16" s="79">
        <f t="shared" si="5"/>
        <v>0.44390243902439031</v>
      </c>
      <c r="B16" s="83">
        <f>IF($A16&lt;&gt;"",IF($D$5="pAu",VLOOKUP(A16,pAg!$A$2:$C$47,3),VLOOKUP(A16,pAg!$O$3:$P1206,2)),"")</f>
        <v>0.97392844086818187</v>
      </c>
      <c r="C16" s="87">
        <f>IF($A16&lt;&gt;"",1-VLOOKUP($M16,'AR sim'!$E$10:$F$38,2)*CoroImg!$D$10/'AR sim'!$D$42,"")</f>
        <v>0.97575510204081628</v>
      </c>
      <c r="D16" s="88">
        <f t="shared" si="7"/>
        <v>0.95</v>
      </c>
      <c r="E16" s="87">
        <f>IF($K$10=1, IF($J$10="R",VLOOKUP($A16,dichroic!$F$5:$H$1232,3),VLOOKUP($A16,dichroic!$F$5:$H$1232,2)),1)</f>
        <v>1</v>
      </c>
      <c r="F16" s="83">
        <f t="shared" si="6"/>
        <v>0.65876398414070947</v>
      </c>
      <c r="G16" s="83">
        <f t="shared" si="0"/>
        <v>0.72832393180740473</v>
      </c>
      <c r="H16" s="83">
        <f t="shared" si="1"/>
        <v>0.90449311820074951</v>
      </c>
      <c r="I16" s="89">
        <f t="shared" si="2"/>
        <v>0.98</v>
      </c>
      <c r="J16" s="46">
        <v>0.66</v>
      </c>
      <c r="K16" s="90">
        <f t="shared" si="3"/>
        <v>1.5097281917418326</v>
      </c>
      <c r="M16" s="6">
        <f t="shared" si="4"/>
        <v>7.3170731707317138E-2</v>
      </c>
      <c r="Z16" s="152" t="s">
        <v>7</v>
      </c>
      <c r="AA16" s="46">
        <v>0.92700000000000005</v>
      </c>
      <c r="AB16" s="46">
        <v>1.1919999999999999</v>
      </c>
      <c r="AC16" s="46">
        <f t="shared" ref="AC16:AC21" si="8">0.5*(AA16+AB16)</f>
        <v>1.0594999999999999</v>
      </c>
      <c r="AD16" s="166">
        <f>AVERAGE(K19:K27)</f>
        <v>1.8775463305350537</v>
      </c>
    </row>
    <row r="17" spans="1:30" ht="15">
      <c r="A17" s="79">
        <f t="shared" si="5"/>
        <v>0.45853658536585373</v>
      </c>
      <c r="B17" s="83">
        <f>IF($A17&lt;&gt;"",IF($D$5="pAu",VLOOKUP(A17,pAg!$A$2:$C$47,3),VLOOKUP(A17,pAg!$O$3:$P1207,2)),"")</f>
        <v>0.97729492658181816</v>
      </c>
      <c r="C17" s="87">
        <f>IF($A17&lt;&gt;"",1-VLOOKUP($M17,'AR sim'!$E$10:$F$38,2)*CoroImg!$D$10/'AR sim'!$D$42,"")</f>
        <v>0.97575510204081628</v>
      </c>
      <c r="D17" s="88">
        <f t="shared" si="7"/>
        <v>0.95</v>
      </c>
      <c r="E17" s="87">
        <f>IF($K$10=1, IF($J$10="R",VLOOKUP($A17,dichroic!$F$5:$H$1232,3),VLOOKUP($A17,dichroic!$F$5:$H$1232,2)),1)</f>
        <v>1</v>
      </c>
      <c r="F17" s="83">
        <f t="shared" si="6"/>
        <v>0.68661454265372934</v>
      </c>
      <c r="G17" s="83">
        <f t="shared" si="0"/>
        <v>0.75911527554744462</v>
      </c>
      <c r="H17" s="83">
        <f t="shared" si="1"/>
        <v>0.90449311820074951</v>
      </c>
      <c r="I17" s="89">
        <f t="shared" si="2"/>
        <v>0.98</v>
      </c>
      <c r="J17" s="46">
        <v>0.68</v>
      </c>
      <c r="K17" s="90">
        <f t="shared" si="3"/>
        <v>1.6212384392419865</v>
      </c>
      <c r="M17" s="6">
        <f t="shared" si="4"/>
        <v>9.7560975609756184E-2</v>
      </c>
      <c r="Z17" s="152" t="s">
        <v>8</v>
      </c>
      <c r="AA17" s="46">
        <v>1.131</v>
      </c>
      <c r="AB17" s="46">
        <v>1.454</v>
      </c>
      <c r="AC17" s="46">
        <f t="shared" si="8"/>
        <v>1.2925</v>
      </c>
      <c r="AD17" s="166">
        <f>AVERAGE(K26:K35)</f>
        <v>1.9557264989236862</v>
      </c>
    </row>
    <row r="18" spans="1:30" ht="15">
      <c r="A18" s="79">
        <f t="shared" si="5"/>
        <v>0.47317073170731716</v>
      </c>
      <c r="B18" s="83">
        <f>IF($A18&lt;&gt;"",IF($D$5="pAu",VLOOKUP(A18,pAg!$A$2:$C$47,3),VLOOKUP(A18,pAg!$O$3:$P1208,2)),"")</f>
        <v>0.9792558020272728</v>
      </c>
      <c r="C18" s="87">
        <f>IF($A18&lt;&gt;"",1-VLOOKUP($M18,'AR sim'!$E$10:$F$38,2)*CoroImg!$D$10/'AR sim'!$D$42,"")</f>
        <v>0.98181632653061224</v>
      </c>
      <c r="D18" s="88">
        <f t="shared" si="7"/>
        <v>0.95</v>
      </c>
      <c r="E18" s="87">
        <f>IF($K$10=1, IF($J$10="R",VLOOKUP($A18,dichroic!$F$5:$H$1232,3),VLOOKUP($A18,dichroic!$F$5:$H$1232,2)),1)</f>
        <v>1</v>
      </c>
      <c r="F18" s="83">
        <f t="shared" si="6"/>
        <v>0.7120950147313696</v>
      </c>
      <c r="G18" s="83">
        <f t="shared" si="0"/>
        <v>0.77759568280464275</v>
      </c>
      <c r="H18" s="83">
        <f t="shared" si="1"/>
        <v>0.91576513408996241</v>
      </c>
      <c r="I18" s="89">
        <f t="shared" si="2"/>
        <v>0.98</v>
      </c>
      <c r="J18" s="46">
        <f t="shared" ref="J18:J19" si="9">J19</f>
        <v>0.7</v>
      </c>
      <c r="K18" s="90">
        <f t="shared" si="3"/>
        <v>1.7308561169885872</v>
      </c>
      <c r="M18" s="6">
        <f t="shared" si="4"/>
        <v>0.12195121951219523</v>
      </c>
      <c r="Z18" s="152" t="s">
        <v>9</v>
      </c>
      <c r="AA18" s="46">
        <v>1.38</v>
      </c>
      <c r="AB18" s="46">
        <v>1.774</v>
      </c>
      <c r="AC18" s="46">
        <f t="shared" si="8"/>
        <v>1.577</v>
      </c>
      <c r="AD18" s="166">
        <f>AVERAGE(K34:K46)</f>
        <v>1.7783467241819575</v>
      </c>
    </row>
    <row r="19" spans="1:30" ht="15">
      <c r="A19" s="79">
        <f t="shared" si="5"/>
        <v>0.48780487804878059</v>
      </c>
      <c r="B19" s="83">
        <f>IF($A19&lt;&gt;"",IF($D$5="pAu",VLOOKUP(A19,pAg!$A$2:$C$47,3),VLOOKUP(A19,pAg!$O$3:$P1209,2)),"")</f>
        <v>0.98059518147727265</v>
      </c>
      <c r="C19" s="87">
        <f>IF($A19&lt;&gt;"",1-VLOOKUP($M19,'AR sim'!$E$10:$F$38,2)*CoroImg!$D$10/'AR sim'!$D$42,"")</f>
        <v>0.9878775510204082</v>
      </c>
      <c r="D19" s="88">
        <f t="shared" si="7"/>
        <v>0.95</v>
      </c>
      <c r="E19" s="87">
        <f>IF($K$10=1, IF($J$10="R",VLOOKUP($A19,dichroic!$F$5:$H$1232,3),VLOOKUP($A19,dichroic!$F$5:$H$1232,2)),1)</f>
        <v>1</v>
      </c>
      <c r="F19" s="83">
        <f t="shared" si="6"/>
        <v>0.73283617002031476</v>
      </c>
      <c r="G19" s="83">
        <f t="shared" si="0"/>
        <v>0.79045483116427617</v>
      </c>
      <c r="H19" s="83">
        <f t="shared" si="1"/>
        <v>0.92710695301957513</v>
      </c>
      <c r="I19" s="89">
        <f t="shared" si="2"/>
        <v>0.98</v>
      </c>
      <c r="J19" s="46">
        <f t="shared" si="9"/>
        <v>0.7</v>
      </c>
      <c r="K19" s="90">
        <f t="shared" si="3"/>
        <v>1.7812706751059808</v>
      </c>
      <c r="M19" s="6">
        <f t="shared" si="4"/>
        <v>0.14634146341463428</v>
      </c>
      <c r="Z19" s="152" t="s">
        <v>10</v>
      </c>
      <c r="AA19" s="46">
        <v>1.6830000000000001</v>
      </c>
      <c r="AB19" s="46">
        <v>2</v>
      </c>
      <c r="AC19" s="46">
        <f t="shared" si="8"/>
        <v>1.8414999999999999</v>
      </c>
      <c r="AD19" s="166">
        <f>AVERAGE(K44:K54)</f>
        <v>1.6718085930751898</v>
      </c>
    </row>
    <row r="20" spans="1:30" ht="15">
      <c r="A20" s="79">
        <f t="shared" si="5"/>
        <v>0.50243902439024402</v>
      </c>
      <c r="B20" s="83">
        <f>IF($A20&lt;&gt;"",IF($D$5="pAu",VLOOKUP(A20,pAg!$A$2:$C$47,3),VLOOKUP(A20,pAg!$O$3:$P1210,2)),"")</f>
        <v>0.98152306601363637</v>
      </c>
      <c r="C20" s="87">
        <f>IF($A20&lt;&gt;"",1-VLOOKUP($M20,'AR sim'!$E$10:$F$38,2)*CoroImg!$D$10/'AR sim'!$D$42,"")</f>
        <v>0.9878775510204082</v>
      </c>
      <c r="D20" s="88">
        <f t="shared" si="7"/>
        <v>0.95</v>
      </c>
      <c r="E20" s="87">
        <f>IF($K$10=1, IF($J$10="R",VLOOKUP($A20,dichroic!$F$5:$H$1232,3),VLOOKUP($A20,dichroic!$F$5:$H$1232,2)),1)</f>
        <v>1</v>
      </c>
      <c r="F20" s="83">
        <f t="shared" si="6"/>
        <v>0.7412009359585261</v>
      </c>
      <c r="G20" s="83">
        <f t="shared" si="0"/>
        <v>0.79947727017303061</v>
      </c>
      <c r="H20" s="83">
        <f t="shared" si="1"/>
        <v>0.92710695301957513</v>
      </c>
      <c r="I20" s="89">
        <f t="shared" si="2"/>
        <v>0.98</v>
      </c>
      <c r="J20" s="46">
        <f>J21</f>
        <v>0.7</v>
      </c>
      <c r="K20" s="90">
        <f t="shared" si="3"/>
        <v>1.8016025212666964</v>
      </c>
      <c r="M20" s="6">
        <f t="shared" si="4"/>
        <v>0.17073170731707332</v>
      </c>
      <c r="Z20" s="152" t="s">
        <v>70</v>
      </c>
      <c r="AA20" s="46">
        <f>AA16</f>
        <v>0.92700000000000005</v>
      </c>
      <c r="AB20" s="46">
        <f>AB19</f>
        <v>2</v>
      </c>
      <c r="AC20" s="46">
        <f t="shared" si="8"/>
        <v>1.4635</v>
      </c>
      <c r="AD20" s="166">
        <f>AVERAGE(K19:K54)</f>
        <v>1.8078308641986078</v>
      </c>
    </row>
    <row r="21" spans="1:30" ht="15">
      <c r="A21" s="79">
        <f t="shared" si="5"/>
        <v>0.51707317073170744</v>
      </c>
      <c r="B21" s="83">
        <f>IF($A21&lt;&gt;"",IF($D$5="pAu",VLOOKUP(A21,pAg!$A$2:$C$47,3),VLOOKUP(A21,pAg!$O$3:$P1211,2)),"")</f>
        <v>0.98213251889090913</v>
      </c>
      <c r="C21" s="87">
        <f>IF($A21&lt;&gt;"",1-VLOOKUP($M21,'AR sim'!$E$10:$F$38,2)*CoroImg!$D$10/'AR sim'!$D$42,"")</f>
        <v>0.98863520408163263</v>
      </c>
      <c r="D21" s="88">
        <f t="shared" si="7"/>
        <v>0.95</v>
      </c>
      <c r="E21" s="87">
        <f>IF($K$10=1, IF($J$10="R",VLOOKUP($A21,dichroic!$F$5:$H$1232,3),VLOOKUP($A21,dichroic!$F$5:$H$1232,2)),1)</f>
        <v>1</v>
      </c>
      <c r="F21" s="83">
        <f t="shared" si="6"/>
        <v>0.74788847243952472</v>
      </c>
      <c r="G21" s="83">
        <f t="shared" si="0"/>
        <v>0.80545464762037633</v>
      </c>
      <c r="H21" s="83">
        <f t="shared" si="1"/>
        <v>0.9285295884120548</v>
      </c>
      <c r="I21" s="89">
        <f t="shared" si="2"/>
        <v>0.98</v>
      </c>
      <c r="J21" s="46">
        <f>VLOOKUP($A21,'SWIR data'!$A$5:$K$795,11)/100</f>
        <v>0.7</v>
      </c>
      <c r="K21" s="90">
        <f t="shared" si="3"/>
        <v>1.8178576040664092</v>
      </c>
      <c r="M21" s="6">
        <f t="shared" si="4"/>
        <v>0.19512195121951237</v>
      </c>
      <c r="Z21" s="152" t="s">
        <v>5</v>
      </c>
      <c r="AA21" s="46">
        <v>1.35</v>
      </c>
      <c r="AB21" s="46">
        <v>1.95</v>
      </c>
      <c r="AC21" s="46">
        <f t="shared" si="8"/>
        <v>1.65</v>
      </c>
      <c r="AD21" s="166">
        <f>GRS!K55</f>
        <v>1.7446669634086658</v>
      </c>
    </row>
    <row r="22" spans="1:30" ht="15">
      <c r="A22" s="79">
        <f t="shared" si="5"/>
        <v>0.53170731707317087</v>
      </c>
      <c r="B22" s="83">
        <f>IF($A22&lt;&gt;"",IF($D$5="pAu",VLOOKUP(A22,pAg!$A$2:$C$47,3),VLOOKUP(A22,pAg!$O$3:$P1212,2)),"")</f>
        <v>0.98264219407272724</v>
      </c>
      <c r="C22" s="87">
        <f>IF($A22&lt;&gt;"",1-VLOOKUP($M22,'AR sim'!$E$10:$F$38,2)*CoroImg!$D$10/'AR sim'!$D$42,"")</f>
        <v>0.98939285714285718</v>
      </c>
      <c r="D22" s="88">
        <f t="shared" si="7"/>
        <v>0.95</v>
      </c>
      <c r="E22" s="87">
        <f>IF($K$10=1, IF($J$10="R",VLOOKUP($A22,dichroic!$F$5:$H$1232,3),VLOOKUP($A22,dichroic!$F$5:$H$1232,2)),1)</f>
        <v>1</v>
      </c>
      <c r="F22" s="83">
        <f t="shared" si="6"/>
        <v>0.75371307494085826</v>
      </c>
      <c r="G22" s="83">
        <f t="shared" si="0"/>
        <v>0.81048485252693436</v>
      </c>
      <c r="H22" s="83">
        <f t="shared" si="1"/>
        <v>0.92995331447704077</v>
      </c>
      <c r="I22" s="89">
        <f t="shared" si="2"/>
        <v>0.98</v>
      </c>
      <c r="J22" s="46">
        <f>VLOOKUP($A22,'SWIR data'!$A$5:$K$795,11)/100</f>
        <v>0.7</v>
      </c>
      <c r="K22" s="90">
        <f t="shared" si="3"/>
        <v>1.8320151935171136</v>
      </c>
      <c r="M22" s="6">
        <f t="shared" si="4"/>
        <v>0.21951219512195141</v>
      </c>
    </row>
    <row r="23" spans="1:30" ht="15">
      <c r="A23" s="79">
        <f t="shared" si="5"/>
        <v>0.5463414634146343</v>
      </c>
      <c r="B23" s="83">
        <f>IF($A23&lt;&gt;"",IF($D$5="pAu",VLOOKUP(A23,pAg!$A$2:$C$47,3),VLOOKUP(A23,pAg!$O$3:$P1213,2)),"")</f>
        <v>0.98294554062727291</v>
      </c>
      <c r="C23" s="87">
        <f>IF($A23&lt;&gt;"",1-VLOOKUP($M23,'AR sim'!$E$10:$F$38,2)*CoroImg!$D$10/'AR sim'!$D$42,"")</f>
        <v>0.98939285714285718</v>
      </c>
      <c r="D23" s="88">
        <f t="shared" si="7"/>
        <v>0.95</v>
      </c>
      <c r="E23" s="87">
        <f>IF($K$10=1, IF($J$10="R",VLOOKUP($A23,dichroic!$F$5:$H$1232,3),VLOOKUP($A23,dichroic!$F$5:$H$1232,2)),1)</f>
        <v>1</v>
      </c>
      <c r="F23" s="83">
        <f t="shared" si="6"/>
        <v>0.75650992036698983</v>
      </c>
      <c r="G23" s="83">
        <f t="shared" si="0"/>
        <v>0.81349236417573623</v>
      </c>
      <c r="H23" s="83">
        <f t="shared" si="1"/>
        <v>0.92995331447704077</v>
      </c>
      <c r="I23" s="89">
        <f t="shared" si="2"/>
        <v>0.98</v>
      </c>
      <c r="J23" s="46">
        <f>VLOOKUP($A23,'SWIR data'!$A$5:$K$795,11)/100</f>
        <v>0.70387493741876284</v>
      </c>
      <c r="K23" s="90">
        <f t="shared" si="3"/>
        <v>1.8489923361241392</v>
      </c>
      <c r="M23" s="6">
        <f t="shared" si="4"/>
        <v>0.24390243902439046</v>
      </c>
    </row>
    <row r="24" spans="1:30" ht="15">
      <c r="A24" s="79">
        <f t="shared" si="5"/>
        <v>0.56097560975609773</v>
      </c>
      <c r="B24" s="83">
        <f>IF($A24&lt;&gt;"",IF($D$5="pAu",VLOOKUP(A24,pAg!$A$2:$C$47,3),VLOOKUP(A24,pAg!$O$3:$P1214,2)),"")</f>
        <v>0.98310210478181814</v>
      </c>
      <c r="C24" s="87">
        <f>IF($A24&lt;&gt;"",1-VLOOKUP($M24,'AR sim'!$E$10:$F$38,2)*CoroImg!$D$10/'AR sim'!$D$42,"")</f>
        <v>0.99015051020408174</v>
      </c>
      <c r="D24" s="88">
        <f t="shared" si="7"/>
        <v>0.95</v>
      </c>
      <c r="E24" s="87">
        <f>IF($K$10=1, IF($J$10="R",VLOOKUP($A24,dichroic!$F$5:$H$1232,3),VLOOKUP($A24,dichroic!$F$5:$H$1232,2)),1)</f>
        <v>1</v>
      </c>
      <c r="F24" s="83">
        <f t="shared" si="6"/>
        <v>0.75911845091111851</v>
      </c>
      <c r="G24" s="83">
        <f t="shared" si="0"/>
        <v>0.81504860965676207</v>
      </c>
      <c r="H24" s="83">
        <f t="shared" si="1"/>
        <v>0.93137813121453317</v>
      </c>
      <c r="I24" s="89">
        <f t="shared" si="2"/>
        <v>0.98</v>
      </c>
      <c r="J24" s="46">
        <f>VLOOKUP($A24,'SWIR data'!$A$5:$K$795,11)/100</f>
        <v>0.72218284833669955</v>
      </c>
      <c r="K24" s="90">
        <f t="shared" si="3"/>
        <v>1.9036263123915753</v>
      </c>
      <c r="M24" s="6">
        <f t="shared" si="4"/>
        <v>0.26829268292682951</v>
      </c>
    </row>
    <row r="25" spans="1:30" ht="15">
      <c r="A25" s="79">
        <f t="shared" si="5"/>
        <v>0.57560975609756115</v>
      </c>
      <c r="B25" s="83">
        <f>IF($A25&lt;&gt;"",IF($D$5="pAu",VLOOKUP(A25,pAg!$A$2:$C$47,3),VLOOKUP(A25,pAg!$O$3:$P1215,2)),"")</f>
        <v>0.98312711817727261</v>
      </c>
      <c r="C25" s="87">
        <f>IF($A25&lt;&gt;"",1-VLOOKUP($M25,'AR sim'!$E$10:$F$38,2)*CoroImg!$D$10/'AR sim'!$D$42,"")</f>
        <v>0.99090816326530629</v>
      </c>
      <c r="D25" s="88">
        <f t="shared" si="7"/>
        <v>0.95</v>
      </c>
      <c r="E25" s="87">
        <f>IF($K$10=1, IF($J$10="R",VLOOKUP($A25,dichroic!$F$5:$H$1232,3),VLOOKUP($A25,dichroic!$F$5:$H$1232,2)),1)</f>
        <v>1</v>
      </c>
      <c r="F25" s="83">
        <f t="shared" si="6"/>
        <v>0.76051279614139822</v>
      </c>
      <c r="G25" s="83">
        <f t="shared" si="0"/>
        <v>0.81529749513393401</v>
      </c>
      <c r="H25" s="83">
        <f t="shared" si="1"/>
        <v>0.93280403862453165</v>
      </c>
      <c r="I25" s="89">
        <f t="shared" si="2"/>
        <v>0.98</v>
      </c>
      <c r="J25" s="46">
        <f>VLOOKUP($A25,'SWIR data'!$A$5:$K$795,11)/100</f>
        <v>0.73519775738687865</v>
      </c>
      <c r="K25" s="90">
        <f t="shared" si="3"/>
        <v>1.9414923392954566</v>
      </c>
      <c r="M25" s="6">
        <f t="shared" si="4"/>
        <v>0.29268292682926855</v>
      </c>
    </row>
    <row r="26" spans="1:30" ht="15">
      <c r="A26" s="79">
        <f t="shared" si="5"/>
        <v>0.59024390243902458</v>
      </c>
      <c r="B26" s="83">
        <f>IF($A26&lt;&gt;"",IF($D$5="pAu",VLOOKUP(A26,pAg!$A$2:$C$47,3),VLOOKUP(A26,pAg!$O$3:$P1216,2)),"")</f>
        <v>0.98309896962727283</v>
      </c>
      <c r="C26" s="87">
        <f>IF($A26&lt;&gt;"",1-VLOOKUP($M26,'AR sim'!$E$10:$F$38,2)*CoroImg!$D$10/'AR sim'!$D$42,"")</f>
        <v>0.99090816326530629</v>
      </c>
      <c r="D26" s="88">
        <f t="shared" si="7"/>
        <v>0.95</v>
      </c>
      <c r="E26" s="87">
        <f>IF($K$10=1, IF($J$10="R",VLOOKUP($A26,dichroic!$F$5:$H$1232,3),VLOOKUP($A26,dichroic!$F$5:$H$1232,2)),1)</f>
        <v>1</v>
      </c>
      <c r="F26" s="83">
        <f t="shared" si="6"/>
        <v>0.76025154046496801</v>
      </c>
      <c r="G26" s="83">
        <f t="shared" si="0"/>
        <v>0.8150174195064579</v>
      </c>
      <c r="H26" s="83">
        <f t="shared" si="1"/>
        <v>0.93280403862453165</v>
      </c>
      <c r="I26" s="89">
        <f t="shared" si="2"/>
        <v>0.98</v>
      </c>
      <c r="J26" s="46">
        <f>VLOOKUP($A26,'SWIR data'!$A$5:$K$795,11)/100</f>
        <v>0.7487261933190501</v>
      </c>
      <c r="K26" s="90">
        <f t="shared" si="3"/>
        <v>1.9765386784275563</v>
      </c>
      <c r="M26" s="6">
        <f t="shared" si="4"/>
        <v>0.3170731707317076</v>
      </c>
    </row>
    <row r="27" spans="1:30" ht="15">
      <c r="A27" s="79">
        <f t="shared" si="5"/>
        <v>0.60487804878048801</v>
      </c>
      <c r="B27" s="83">
        <f>IF($A27&lt;&gt;"",IF($D$5="pAu",VLOOKUP(A27,pAg!$A$2:$C$47,3),VLOOKUP(A27,pAg!$O$3:$P1217,2)),"")</f>
        <v>0.98302368430909115</v>
      </c>
      <c r="C27" s="87">
        <f>IF($A27&lt;&gt;"",1-VLOOKUP($M27,'AR sim'!$E$10:$F$38,2)*CoroImg!$D$10/'AR sim'!$D$42,"")</f>
        <v>0.98939285714285718</v>
      </c>
      <c r="D27" s="88">
        <f t="shared" si="7"/>
        <v>0.95</v>
      </c>
      <c r="E27" s="87">
        <f>IF($K$10=1, IF($J$10="R",VLOOKUP($A27,dichroic!$F$5:$H$1232,3),VLOOKUP($A27,dichroic!$F$5:$H$1232,2)),1)</f>
        <v>1</v>
      </c>
      <c r="F27" s="83">
        <f t="shared" si="6"/>
        <v>0.7572319419655158</v>
      </c>
      <c r="G27" s="83">
        <f t="shared" si="0"/>
        <v>0.81426877046117641</v>
      </c>
      <c r="H27" s="83">
        <f t="shared" si="1"/>
        <v>0.92995331447704077</v>
      </c>
      <c r="I27" s="89">
        <f t="shared" si="2"/>
        <v>0.98</v>
      </c>
      <c r="J27" s="46">
        <f>VLOOKUP($A27,'SWIR data'!$A$5:$K$795,11)/100</f>
        <v>0.75855098144325728</v>
      </c>
      <c r="K27" s="90">
        <f t="shared" si="3"/>
        <v>1.9945213146205576</v>
      </c>
      <c r="M27" s="6">
        <f t="shared" si="4"/>
        <v>0.34146341463414664</v>
      </c>
    </row>
    <row r="28" spans="1:30" ht="15">
      <c r="A28" s="79">
        <f t="shared" si="5"/>
        <v>0.61951219512195144</v>
      </c>
      <c r="B28" s="83">
        <f>IF($A28&lt;&gt;"",IF($D$5="pAu",VLOOKUP(A28,pAg!$A$2:$C$47,3),VLOOKUP(A28,pAg!$O$3:$P1218,2)),"")</f>
        <v>0.98286909568181802</v>
      </c>
      <c r="C28" s="87">
        <f>IF($A28&lt;&gt;"",1-VLOOKUP($M28,'AR sim'!$E$10:$F$38,2)*CoroImg!$D$10/'AR sim'!$D$42,"")</f>
        <v>0.9878775510204082</v>
      </c>
      <c r="D28" s="88">
        <f t="shared" si="7"/>
        <v>0.95</v>
      </c>
      <c r="E28" s="87">
        <f>IF($K$10=1, IF($J$10="R",VLOOKUP($A28,dichroic!$F$5:$H$1232,3),VLOOKUP($A28,dichroic!$F$5:$H$1232,2)),1)</f>
        <v>1</v>
      </c>
      <c r="F28" s="83">
        <f t="shared" si="6"/>
        <v>0.75349087193906727</v>
      </c>
      <c r="G28" s="83">
        <f t="shared" si="0"/>
        <v>0.8127334925975449</v>
      </c>
      <c r="H28" s="83">
        <f t="shared" si="1"/>
        <v>0.92710695301957513</v>
      </c>
      <c r="I28" s="89">
        <f t="shared" si="2"/>
        <v>0.98</v>
      </c>
      <c r="J28" s="46">
        <f>VLOOKUP($A28,'SWIR data'!$A$5:$K$795,11)/100</f>
        <v>0.76358865683890509</v>
      </c>
      <c r="K28" s="90">
        <f t="shared" si="3"/>
        <v>1.9978480112346324</v>
      </c>
      <c r="M28" s="6">
        <f t="shared" si="4"/>
        <v>0.36585365853658569</v>
      </c>
    </row>
    <row r="29" spans="1:30" ht="15">
      <c r="A29" s="79">
        <f t="shared" si="5"/>
        <v>0.63414634146341486</v>
      </c>
      <c r="B29" s="83">
        <f>IF($A29&lt;&gt;"",IF($D$5="pAu",VLOOKUP(A29,pAg!$A$2:$C$47,3),VLOOKUP(A29,pAg!$O$3:$P1219,2)),"")</f>
        <v>0.98259436984999993</v>
      </c>
      <c r="C29" s="87">
        <f>IF($A29&lt;&gt;"",1-VLOOKUP($M29,'AR sim'!$E$10:$F$38,2)*CoroImg!$D$10/'AR sim'!$D$42,"")</f>
        <v>0.9878775510204082</v>
      </c>
      <c r="D29" s="88">
        <f t="shared" si="7"/>
        <v>0.95</v>
      </c>
      <c r="E29" s="87">
        <f>IF($K$10=1, IF($J$10="R",VLOOKUP($A29,dichroic!$F$5:$H$1232,3),VLOOKUP($A29,dichroic!$F$5:$H$1232,2)),1)</f>
        <v>1</v>
      </c>
      <c r="F29" s="83">
        <f t="shared" si="6"/>
        <v>0.75096741722869198</v>
      </c>
      <c r="G29" s="83">
        <f t="shared" si="0"/>
        <v>0.81001163326712311</v>
      </c>
      <c r="H29" s="83">
        <f t="shared" si="1"/>
        <v>0.92710695301957513</v>
      </c>
      <c r="I29" s="89">
        <f t="shared" si="2"/>
        <v>0.98</v>
      </c>
      <c r="J29" s="46">
        <f>VLOOKUP($A29,'SWIR data'!$A$5:$K$795,11)/100</f>
        <v>0.76648460734368062</v>
      </c>
      <c r="K29" s="90">
        <f t="shared" si="3"/>
        <v>1.9987087509897785</v>
      </c>
      <c r="M29" s="6">
        <f t="shared" si="4"/>
        <v>0.39024390243902474</v>
      </c>
    </row>
    <row r="30" spans="1:30" ht="15">
      <c r="A30" s="79">
        <f t="shared" si="5"/>
        <v>0.64878048780487829</v>
      </c>
      <c r="B30" s="83">
        <f>IF($A30&lt;&gt;"",IF($D$5="pAu",VLOOKUP(A30,pAg!$A$2:$C$47,3),VLOOKUP(A30,pAg!$O$3:$P1220,2)),"")</f>
        <v>0.98238004504090892</v>
      </c>
      <c r="C30" s="87">
        <f>IF($A30&lt;&gt;"",1-VLOOKUP($M30,'AR sim'!$E$10:$F$38,2)*CoroImg!$D$10/'AR sim'!$D$42,"")</f>
        <v>0.98636224489795921</v>
      </c>
      <c r="D30" s="88">
        <f t="shared" si="7"/>
        <v>0.95</v>
      </c>
      <c r="E30" s="87">
        <f>IF($K$10=1, IF($J$10="R",VLOOKUP($A30,dichroic!$F$5:$H$1232,3),VLOOKUP($A30,dichroic!$F$5:$H$1232,2)),1)</f>
        <v>1</v>
      </c>
      <c r="F30" s="83">
        <f t="shared" si="6"/>
        <v>0.74670811553442928</v>
      </c>
      <c r="G30" s="83">
        <f t="shared" si="0"/>
        <v>0.80789400495946029</v>
      </c>
      <c r="H30" s="83">
        <f t="shared" si="1"/>
        <v>0.92426495425213451</v>
      </c>
      <c r="I30" s="89">
        <f t="shared" si="2"/>
        <v>0.98</v>
      </c>
      <c r="J30" s="46">
        <f>VLOOKUP($A30,'SWIR data'!$A$5:$K$795,11)/100</f>
        <v>0.76605041612442748</v>
      </c>
      <c r="K30" s="90">
        <f t="shared" si="3"/>
        <v>1.9862467799429</v>
      </c>
      <c r="M30" s="6">
        <f t="shared" si="4"/>
        <v>0.41463414634146378</v>
      </c>
    </row>
    <row r="31" spans="1:30" ht="15">
      <c r="A31" s="79">
        <f t="shared" si="5"/>
        <v>0.66341463414634172</v>
      </c>
      <c r="B31" s="83">
        <f>IF($A31&lt;&gt;"",IF($D$5="pAu",VLOOKUP(A31,pAg!$A$2:$C$47,3),VLOOKUP(A31,pAg!$O$3:$P1221,2)),"")</f>
        <v>0.98209544428636364</v>
      </c>
      <c r="C31" s="87">
        <f>IF($A31&lt;&gt;"",1-VLOOKUP($M31,'AR sim'!$E$10:$F$38,2)*CoroImg!$D$10/'AR sim'!$D$42,"")</f>
        <v>0.98484693877551033</v>
      </c>
      <c r="D31" s="88">
        <f t="shared" si="7"/>
        <v>0.95</v>
      </c>
      <c r="E31" s="87">
        <f>IF($K$10=1, IF($J$10="R",VLOOKUP($A31,dichroic!$F$5:$H$1232,3),VLOOKUP($A31,dichroic!$F$5:$H$1232,2)),1)</f>
        <v>1</v>
      </c>
      <c r="F31" s="83">
        <f t="shared" si="6"/>
        <v>0.74183179173759362</v>
      </c>
      <c r="G31" s="83">
        <f t="shared" si="0"/>
        <v>0.8050898612460381</v>
      </c>
      <c r="H31" s="83">
        <f t="shared" si="1"/>
        <v>0.92142731817471912</v>
      </c>
      <c r="I31" s="89">
        <f t="shared" si="2"/>
        <v>0.98</v>
      </c>
      <c r="J31" s="46">
        <f>VLOOKUP($A31,'SWIR data'!$A$5:$K$795,11)/100</f>
        <v>0.76373721251213678</v>
      </c>
      <c r="K31" s="90">
        <f t="shared" si="3"/>
        <v>1.9673171370693867</v>
      </c>
      <c r="M31" s="6">
        <f t="shared" si="4"/>
        <v>0.43902439024390283</v>
      </c>
    </row>
    <row r="32" spans="1:30" ht="15">
      <c r="A32" s="79">
        <f t="shared" si="5"/>
        <v>0.67804878048780515</v>
      </c>
      <c r="B32" s="83">
        <f>IF($A32&lt;&gt;"",IF($D$5="pAu",VLOOKUP(A32,pAg!$A$2:$C$47,3),VLOOKUP(A32,pAg!$O$3:$P1222,2)),"")</f>
        <v>0.98192318355454544</v>
      </c>
      <c r="C32" s="87">
        <f>IF($A32&lt;&gt;"",1-VLOOKUP($M32,'AR sim'!$E$10:$F$38,2)*CoroImg!$D$10/'AR sim'!$D$42,"")</f>
        <v>0.98484693877551033</v>
      </c>
      <c r="D32" s="88">
        <f t="shared" si="7"/>
        <v>0.95</v>
      </c>
      <c r="E32" s="87">
        <f>IF($K$10=1, IF($J$10="R",VLOOKUP($A32,dichroic!$F$5:$H$1232,3),VLOOKUP($A32,dichroic!$F$5:$H$1232,2)),1)</f>
        <v>1</v>
      </c>
      <c r="F32" s="83">
        <f t="shared" si="6"/>
        <v>0.74027187881813572</v>
      </c>
      <c r="G32" s="83">
        <f t="shared" si="0"/>
        <v>0.80339693019364866</v>
      </c>
      <c r="H32" s="83">
        <f t="shared" si="1"/>
        <v>0.92142731817471912</v>
      </c>
      <c r="I32" s="89">
        <f t="shared" si="2"/>
        <v>0.98</v>
      </c>
      <c r="J32" s="46">
        <f>VLOOKUP($A32,'SWIR data'!$A$5:$K$795,11)/100</f>
        <v>0.75897521331072071</v>
      </c>
      <c r="K32" s="90">
        <f t="shared" si="3"/>
        <v>1.9509396114835971</v>
      </c>
      <c r="M32" s="6">
        <f t="shared" si="4"/>
        <v>0.46341463414634188</v>
      </c>
    </row>
    <row r="33" spans="1:13" ht="15">
      <c r="A33" s="79">
        <f t="shared" si="5"/>
        <v>0.69268292682926857</v>
      </c>
      <c r="B33" s="83">
        <f>IF($A33&lt;&gt;"",IF($D$5="pAu",VLOOKUP(A33,pAg!$A$2:$C$47,3),VLOOKUP(A33,pAg!$O$3:$P1223,2)),"")</f>
        <v>0.981738452759091</v>
      </c>
      <c r="C33" s="87">
        <f>IF($A33&lt;&gt;"",1-VLOOKUP($M33,'AR sim'!$E$10:$F$38,2)*CoroImg!$D$10/'AR sim'!$D$42,"")</f>
        <v>0.98333163265306123</v>
      </c>
      <c r="D33" s="88">
        <f t="shared" si="7"/>
        <v>0.95</v>
      </c>
      <c r="E33" s="87">
        <f>IF($K$10=1, IF($J$10="R",VLOOKUP($A33,dichroic!$F$5:$H$1232,3),VLOOKUP($A33,dichroic!$F$5:$H$1232,2)),1)</f>
        <v>1</v>
      </c>
      <c r="F33" s="83">
        <f t="shared" si="6"/>
        <v>0.73633127479252847</v>
      </c>
      <c r="G33" s="83">
        <f t="shared" si="0"/>
        <v>0.80158507337482576</v>
      </c>
      <c r="H33" s="83">
        <f t="shared" si="1"/>
        <v>0.9185940447873282</v>
      </c>
      <c r="I33" s="89">
        <f t="shared" si="2"/>
        <v>0.98</v>
      </c>
      <c r="J33" s="46">
        <f>VLOOKUP($A33,'SWIR data'!$A$5:$K$795,11)/100</f>
        <v>0.75411375938449365</v>
      </c>
      <c r="K33" s="90">
        <f t="shared" si="3"/>
        <v>1.9281245918585541</v>
      </c>
      <c r="M33" s="6">
        <f t="shared" si="4"/>
        <v>0.48780487804878092</v>
      </c>
    </row>
    <row r="34" spans="1:13" ht="15">
      <c r="A34" s="79">
        <f t="shared" si="5"/>
        <v>0.707317073170732</v>
      </c>
      <c r="B34" s="83">
        <f>IF($A34&lt;&gt;"",IF($D$5="pAu",VLOOKUP(A34,pAg!$A$2:$C$47,3),VLOOKUP(A34,pAg!$O$3:$P1224,2)),"")</f>
        <v>0.98138457467727269</v>
      </c>
      <c r="C34" s="87">
        <f>IF($A34&lt;&gt;"",1-VLOOKUP($M34,'AR sim'!$E$10:$F$38,2)*CoroImg!$D$10/'AR sim'!$D$42,"")</f>
        <v>0.98181632653061224</v>
      </c>
      <c r="D34" s="88">
        <f t="shared" si="7"/>
        <v>0.95</v>
      </c>
      <c r="E34" s="87">
        <f>IF($K$10=1, IF($J$10="R",VLOOKUP($A34,dichroic!$F$5:$H$1232,3),VLOOKUP($A34,dichroic!$F$5:$H$1232,2)),1)</f>
        <v>1</v>
      </c>
      <c r="F34" s="83">
        <f t="shared" si="6"/>
        <v>0.7308947368252261</v>
      </c>
      <c r="G34" s="83">
        <f t="shared" si="0"/>
        <v>0.79812466058947473</v>
      </c>
      <c r="H34" s="83">
        <f t="shared" si="1"/>
        <v>0.91576513408996241</v>
      </c>
      <c r="I34" s="89">
        <f t="shared" si="2"/>
        <v>0.98</v>
      </c>
      <c r="J34" s="46">
        <f>VLOOKUP($A34,'SWIR data'!$A$5:$K$795,11)/100</f>
        <v>0.7455331713253589</v>
      </c>
      <c r="K34" s="90">
        <f t="shared" si="3"/>
        <v>1.8921117726497498</v>
      </c>
      <c r="M34" s="6">
        <f t="shared" si="4"/>
        <v>0.51219512195121997</v>
      </c>
    </row>
    <row r="35" spans="1:13" ht="15">
      <c r="A35" s="79">
        <f t="shared" si="5"/>
        <v>0.72195121951219543</v>
      </c>
      <c r="B35" s="83">
        <f>IF($A35&lt;&gt;"",IF($D$5="pAu",VLOOKUP(A35,pAg!$A$2:$C$47,3),VLOOKUP(A35,pAg!$O$3:$P1225,2)),"")</f>
        <v>0.98103441789545442</v>
      </c>
      <c r="C35" s="87">
        <f>IF($A35&lt;&gt;"",1-VLOOKUP($M35,'AR sim'!$E$10:$F$38,2)*CoroImg!$D$10/'AR sim'!$D$42,"")</f>
        <v>0.98333163265306123</v>
      </c>
      <c r="D35" s="88">
        <f t="shared" si="7"/>
        <v>0.95</v>
      </c>
      <c r="E35" s="87">
        <f>IF($K$10=1, IF($J$10="R",VLOOKUP($A35,dichroic!$F$5:$H$1232,3),VLOOKUP($A35,dichroic!$F$5:$H$1232,2)),1)</f>
        <v>1</v>
      </c>
      <c r="F35" s="83">
        <f t="shared" si="6"/>
        <v>0.73001965801908986</v>
      </c>
      <c r="G35" s="83">
        <f t="shared" si="0"/>
        <v>0.794714120085661</v>
      </c>
      <c r="H35" s="83">
        <f t="shared" si="1"/>
        <v>0.9185940447873282</v>
      </c>
      <c r="I35" s="89">
        <f t="shared" si="2"/>
        <v>0.98</v>
      </c>
      <c r="J35" s="46">
        <f>VLOOKUP($A35,'SWIR data'!$A$5:$K$795,11)/100</f>
        <v>0.73569525418478454</v>
      </c>
      <c r="K35" s="90">
        <f t="shared" si="3"/>
        <v>1.8649083409601481</v>
      </c>
      <c r="M35" s="6">
        <f t="shared" si="4"/>
        <v>0.53658536585365901</v>
      </c>
    </row>
    <row r="36" spans="1:13" ht="15">
      <c r="A36" s="79">
        <f t="shared" si="5"/>
        <v>0.73658536585365886</v>
      </c>
      <c r="B36" s="83">
        <f>IF($A36&lt;&gt;"",IF($D$5="pAu",VLOOKUP(A36,pAg!$A$2:$C$47,3),VLOOKUP(A36,pAg!$O$3:$P1226,2)),"")</f>
        <v>0.98072798322272736</v>
      </c>
      <c r="C36" s="87">
        <f>IF($A36&lt;&gt;"",1-VLOOKUP($M36,'AR sim'!$E$10:$F$38,2)*CoroImg!$D$10/'AR sim'!$D$42,"")</f>
        <v>0.98333163265306123</v>
      </c>
      <c r="D36" s="88">
        <f t="shared" si="7"/>
        <v>0.95</v>
      </c>
      <c r="E36" s="87">
        <f>IF($K$10=1, IF($J$10="R",VLOOKUP($A36,dichroic!$F$5:$H$1232,3),VLOOKUP($A36,dichroic!$F$5:$H$1232,2)),1)</f>
        <v>1</v>
      </c>
      <c r="F36" s="83">
        <f t="shared" si="6"/>
        <v>0.72728801785054387</v>
      </c>
      <c r="G36" s="83">
        <f t="shared" si="0"/>
        <v>0.79174040151645531</v>
      </c>
      <c r="H36" s="83">
        <f t="shared" si="1"/>
        <v>0.9185940447873282</v>
      </c>
      <c r="I36" s="89">
        <f t="shared" si="2"/>
        <v>0.98</v>
      </c>
      <c r="J36" s="46">
        <f>VLOOKUP($A36,'SWIR data'!$A$5:$K$795,11)/100</f>
        <v>0.72797899166486413</v>
      </c>
      <c r="K36" s="90">
        <f t="shared" si="3"/>
        <v>1.8384433875956652</v>
      </c>
      <c r="M36" s="6">
        <f t="shared" si="4"/>
        <v>0.56097560975609806</v>
      </c>
    </row>
    <row r="37" spans="1:13" ht="15">
      <c r="A37" s="79">
        <f t="shared" si="5"/>
        <v>0.75121951219512229</v>
      </c>
      <c r="B37" s="83">
        <f>IF($A37&lt;&gt;"",IF($D$5="pAu",VLOOKUP(A37,pAg!$A$2:$C$47,3),VLOOKUP(A37,pAg!$O$3:$P1227,2)),"")</f>
        <v>0.98041131271363635</v>
      </c>
      <c r="C37" s="87">
        <f>IF($A37&lt;&gt;"",1-VLOOKUP($M37,'AR sim'!$E$10:$F$38,2)*CoroImg!$D$10/'AR sim'!$D$42,"")</f>
        <v>0.98484693877551033</v>
      </c>
      <c r="D37" s="88">
        <f t="shared" si="7"/>
        <v>0.95</v>
      </c>
      <c r="E37" s="87">
        <f>IF($K$10=1, IF($J$10="R",VLOOKUP($A37,dichroic!$F$5:$H$1232,3),VLOOKUP($A37,dichroic!$F$5:$H$1232,2)),1)</f>
        <v>1</v>
      </c>
      <c r="F37" s="83">
        <f t="shared" si="6"/>
        <v>0.72670952038515124</v>
      </c>
      <c r="G37" s="83">
        <f t="shared" si="0"/>
        <v>0.78867807156478742</v>
      </c>
      <c r="H37" s="83">
        <f t="shared" si="1"/>
        <v>0.92142731817471912</v>
      </c>
      <c r="I37" s="89">
        <f t="shared" si="2"/>
        <v>0.98</v>
      </c>
      <c r="J37" s="46">
        <f>VLOOKUP($A37,'SWIR data'!$A$5:$K$795,11)/100</f>
        <v>0.71882679336187505</v>
      </c>
      <c r="K37" s="90">
        <f t="shared" si="3"/>
        <v>1.8138864149395293</v>
      </c>
      <c r="M37" s="6">
        <f t="shared" si="4"/>
        <v>0.58536585365853711</v>
      </c>
    </row>
    <row r="38" spans="1:13" ht="15">
      <c r="A38" s="79">
        <f t="shared" si="5"/>
        <v>0.76585365853658571</v>
      </c>
      <c r="B38" s="83">
        <f>IF($A38&lt;&gt;"",IF($D$5="pAu",VLOOKUP(A38,pAg!$A$2:$C$47,3),VLOOKUP(A38,pAg!$O$3:$P1228,2)),"")</f>
        <v>0.98012028335454549</v>
      </c>
      <c r="C38" s="87">
        <f>IF($A38&lt;&gt;"",1-VLOOKUP($M38,'AR sim'!$E$10:$F$38,2)*CoroImg!$D$10/'AR sim'!$D$42,"")</f>
        <v>0.98636224489795921</v>
      </c>
      <c r="D38" s="88">
        <f t="shared" si="7"/>
        <v>0.95</v>
      </c>
      <c r="E38" s="87">
        <f>IF($K$10=1, IF($J$10="R",VLOOKUP($A38,dichroic!$F$5:$H$1232,3),VLOOKUP($A38,dichroic!$F$5:$H$1232,2)),1)</f>
        <v>1</v>
      </c>
      <c r="F38" s="83">
        <f t="shared" si="6"/>
        <v>0.72635513128626894</v>
      </c>
      <c r="G38" s="83">
        <f t="shared" si="0"/>
        <v>0.78587328010721391</v>
      </c>
      <c r="H38" s="83">
        <f t="shared" si="1"/>
        <v>0.92426495425213451</v>
      </c>
      <c r="I38" s="89">
        <f t="shared" si="2"/>
        <v>0.98</v>
      </c>
      <c r="J38" s="46">
        <f>VLOOKUP($A38,'SWIR data'!$A$5:$K$795,11)/100</f>
        <v>0.71049853625179227</v>
      </c>
      <c r="K38" s="90">
        <f t="shared" si="3"/>
        <v>1.7919965876744164</v>
      </c>
      <c r="M38" s="6">
        <f t="shared" si="4"/>
        <v>0.60975609756097615</v>
      </c>
    </row>
    <row r="39" spans="1:13" ht="15">
      <c r="A39" s="79">
        <f t="shared" si="5"/>
        <v>0.78048780487804914</v>
      </c>
      <c r="B39" s="83">
        <f>IF($A39&lt;&gt;"",IF($D$5="pAu",VLOOKUP(A39,pAg!$A$2:$C$47,3),VLOOKUP(A39,pAg!$O$3:$P1229,2)),"")</f>
        <v>0.97976800722272728</v>
      </c>
      <c r="C39" s="87">
        <f>IF($A39&lt;&gt;"",1-VLOOKUP($M39,'AR sim'!$E$10:$F$38,2)*CoroImg!$D$10/'AR sim'!$D$42,"")</f>
        <v>0.98636224489795921</v>
      </c>
      <c r="D39" s="88">
        <f t="shared" si="7"/>
        <v>0.95</v>
      </c>
      <c r="E39" s="87">
        <f>IF($K$10=1, IF($J$10="R",VLOOKUP($A39,dichroic!$F$5:$H$1232,3),VLOOKUP($A39,dichroic!$F$5:$H$1232,2)),1)</f>
        <v>1</v>
      </c>
      <c r="F39" s="83">
        <f t="shared" si="6"/>
        <v>0.7232285065735492</v>
      </c>
      <c r="G39" s="83">
        <f t="shared" si="0"/>
        <v>0.78249045714250498</v>
      </c>
      <c r="H39" s="83">
        <f t="shared" si="1"/>
        <v>0.92426495425213451</v>
      </c>
      <c r="I39" s="89">
        <f t="shared" si="2"/>
        <v>0.98</v>
      </c>
      <c r="J39" s="46">
        <f>VLOOKUP($A39,'SWIR data'!$A$5:$K$795,11)/100</f>
        <v>0.70452644370545825</v>
      </c>
      <c r="K39" s="90">
        <f t="shared" si="3"/>
        <v>1.7692850843401826</v>
      </c>
      <c r="M39" s="6">
        <f t="shared" si="4"/>
        <v>0.6341463414634152</v>
      </c>
    </row>
    <row r="40" spans="1:13" ht="15">
      <c r="A40" s="79">
        <f t="shared" si="5"/>
        <v>0.79512195121951257</v>
      </c>
      <c r="B40" s="83">
        <f>IF($A40&lt;&gt;"",IF($D$5="pAu",VLOOKUP(A40,pAg!$A$2:$C$47,3),VLOOKUP(A40,pAg!$O$3:$P1230,2)),"")</f>
        <v>0.97949301274090927</v>
      </c>
      <c r="C40" s="87">
        <f>IF($A40&lt;&gt;"",1-VLOOKUP($M40,'AR sim'!$E$10:$F$38,2)*CoroImg!$D$10/'AR sim'!$D$42,"")</f>
        <v>0.9878775510204082</v>
      </c>
      <c r="D40" s="88">
        <f t="shared" si="7"/>
        <v>0.95</v>
      </c>
      <c r="E40" s="87">
        <f>IF($K$10=1, IF($J$10="R",VLOOKUP($A40,dichroic!$F$5:$H$1232,3),VLOOKUP($A40,dichroic!$F$5:$H$1232,2)),1)</f>
        <v>1</v>
      </c>
      <c r="F40" s="83">
        <f t="shared" si="6"/>
        <v>0.72301273268627408</v>
      </c>
      <c r="G40" s="83">
        <f t="shared" si="0"/>
        <v>0.77985903388107614</v>
      </c>
      <c r="H40" s="83">
        <f t="shared" si="1"/>
        <v>0.92710695301957513</v>
      </c>
      <c r="I40" s="89">
        <f t="shared" si="2"/>
        <v>0.98</v>
      </c>
      <c r="J40" s="46">
        <f>VLOOKUP($A40,'SWIR data'!$A$5:$K$795,11)/100</f>
        <v>0.7</v>
      </c>
      <c r="K40" s="90">
        <f t="shared" si="3"/>
        <v>1.7573933044633951</v>
      </c>
      <c r="M40" s="6">
        <f t="shared" si="4"/>
        <v>0.65853658536585424</v>
      </c>
    </row>
    <row r="41" spans="1:13" ht="15">
      <c r="A41" s="79">
        <f t="shared" si="5"/>
        <v>0.809756097560976</v>
      </c>
      <c r="B41" s="83">
        <f>IF($A41&lt;&gt;"",IF($D$5="pAu",VLOOKUP(A41,pAg!$A$2:$C$47,3),VLOOKUP(A41,pAg!$O$3:$P1231,2)),"")</f>
        <v>0.97914959844090899</v>
      </c>
      <c r="C41" s="87">
        <f>IF($A41&lt;&gt;"",1-VLOOKUP($M41,'AR sim'!$E$10:$F$38,2)*CoroImg!$D$10/'AR sim'!$D$42,"")</f>
        <v>0.98939285714285718</v>
      </c>
      <c r="D41" s="88">
        <f t="shared" si="7"/>
        <v>0.95</v>
      </c>
      <c r="E41" s="87">
        <f>IF($K$10=1, IF($J$10="R",VLOOKUP($A41,dichroic!$F$5:$H$1232,3),VLOOKUP($A41,dichroic!$F$5:$H$1232,2)),1)</f>
        <v>1</v>
      </c>
      <c r="F41" s="83">
        <f t="shared" si="6"/>
        <v>0.72218713614788765</v>
      </c>
      <c r="G41" s="83">
        <f t="shared" si="0"/>
        <v>0.77658429181900335</v>
      </c>
      <c r="H41" s="83">
        <f t="shared" si="1"/>
        <v>0.92995331447704077</v>
      </c>
      <c r="I41" s="89">
        <f t="shared" si="2"/>
        <v>0.98</v>
      </c>
      <c r="J41" s="46">
        <f>VLOOKUP($A41,'SWIR data'!$A$5:$K$795,11)/100</f>
        <v>0.7</v>
      </c>
      <c r="K41" s="90">
        <f t="shared" si="3"/>
        <v>1.7553865654902683</v>
      </c>
      <c r="M41" s="6">
        <f t="shared" si="4"/>
        <v>0.68292682926829329</v>
      </c>
    </row>
    <row r="42" spans="1:13" ht="15">
      <c r="A42" s="79">
        <f t="shared" si="5"/>
        <v>0.82439024390243942</v>
      </c>
      <c r="B42" s="83">
        <f>IF($A42&lt;&gt;"",IF($D$5="pAu",VLOOKUP(A42,pAg!$A$2:$C$47,3),VLOOKUP(A42,pAg!$O$3:$P1232,2)),"")</f>
        <v>0.9786371426863637</v>
      </c>
      <c r="C42" s="87">
        <f>IF($A42&lt;&gt;"",1-VLOOKUP($M42,'AR sim'!$E$10:$F$38,2)*CoroImg!$D$10/'AR sim'!$D$42,"")</f>
        <v>0.98939285714285718</v>
      </c>
      <c r="D42" s="88">
        <f t="shared" si="7"/>
        <v>0.95</v>
      </c>
      <c r="E42" s="87">
        <f>IF($K$10=1, IF($J$10="R",VLOOKUP($A42,dichroic!$F$5:$H$1232,3),VLOOKUP($A42,dichroic!$F$5:$H$1232,2)),1)</f>
        <v>1</v>
      </c>
      <c r="F42" s="83">
        <f t="shared" si="6"/>
        <v>0.71766453203895675</v>
      </c>
      <c r="G42" s="83">
        <f t="shared" si="0"/>
        <v>0.77172103251498747</v>
      </c>
      <c r="H42" s="83">
        <f t="shared" si="1"/>
        <v>0.92995331447704077</v>
      </c>
      <c r="I42" s="89">
        <f t="shared" si="2"/>
        <v>0.98</v>
      </c>
      <c r="J42" s="46">
        <f>VLOOKUP($A42,'SWIR data'!$A$5:$K$795,11)/100</f>
        <v>0.7</v>
      </c>
      <c r="K42" s="90">
        <f t="shared" si="3"/>
        <v>1.7443936827643391</v>
      </c>
      <c r="M42" s="6">
        <f t="shared" si="4"/>
        <v>0.70731707317073234</v>
      </c>
    </row>
    <row r="43" spans="1:13" ht="15">
      <c r="A43" s="79">
        <f t="shared" si="5"/>
        <v>0.83902439024390285</v>
      </c>
      <c r="B43" s="83">
        <f>IF($A43&lt;&gt;"",IF($D$5="pAu",VLOOKUP(A43,pAg!$A$2:$C$47,3),VLOOKUP(A43,pAg!$O$3:$P1233,2)),"")</f>
        <v>0.97804645098636356</v>
      </c>
      <c r="C43" s="87">
        <f>IF($A43&lt;&gt;"",1-VLOOKUP($M43,'AR sim'!$E$10:$F$38,2)*CoroImg!$D$10/'AR sim'!$D$42,"")</f>
        <v>0.99090816326530629</v>
      </c>
      <c r="D43" s="88">
        <f t="shared" si="7"/>
        <v>0.95</v>
      </c>
      <c r="E43" s="87">
        <f>IF($K$10=1, IF($J$10="R",VLOOKUP($A43,dichroic!$F$5:$H$1232,3),VLOOKUP($A43,dichroic!$F$5:$H$1232,2)),1)</f>
        <v>1</v>
      </c>
      <c r="F43" s="83">
        <f t="shared" si="6"/>
        <v>0.7146677683164514</v>
      </c>
      <c r="G43" s="83">
        <f t="shared" si="0"/>
        <v>0.76614995081953807</v>
      </c>
      <c r="H43" s="83">
        <f t="shared" si="1"/>
        <v>0.93280403862453165</v>
      </c>
      <c r="I43" s="89">
        <f t="shared" si="2"/>
        <v>0.98</v>
      </c>
      <c r="J43" s="46">
        <f>VLOOKUP($A43,'SWIR data'!$A$5:$K$795,11)/100</f>
        <v>0.7</v>
      </c>
      <c r="K43" s="90">
        <f t="shared" si="3"/>
        <v>1.7371095890507711</v>
      </c>
      <c r="M43" s="6">
        <f t="shared" si="4"/>
        <v>0.73170731707317138</v>
      </c>
    </row>
    <row r="44" spans="1:13" ht="15">
      <c r="A44" s="79">
        <f t="shared" si="5"/>
        <v>0.85365853658536628</v>
      </c>
      <c r="B44" s="83">
        <f>IF($A44&lt;&gt;"",IF($D$5="pAu",VLOOKUP(A44,pAg!$A$2:$C$47,3),VLOOKUP(A44,pAg!$O$3:$P1234,2)),"")</f>
        <v>0.97765586192727283</v>
      </c>
      <c r="C44" s="87">
        <f>IF($A44&lt;&gt;"",1-VLOOKUP($M44,'AR sim'!$E$10:$F$38,2)*CoroImg!$D$10/'AR sim'!$D$42,"")</f>
        <v>0.99015051020408174</v>
      </c>
      <c r="D44" s="88">
        <f t="shared" si="7"/>
        <v>0.95</v>
      </c>
      <c r="E44" s="87">
        <f>IF($K$10=1, IF($J$10="R",VLOOKUP($A44,dichroic!$F$5:$H$1232,3),VLOOKUP($A44,dichroic!$F$5:$H$1232,2)),1)</f>
        <v>1</v>
      </c>
      <c r="F44" s="83">
        <f t="shared" si="6"/>
        <v>0.71016316060139661</v>
      </c>
      <c r="G44" s="83">
        <f t="shared" si="0"/>
        <v>0.7624864024618353</v>
      </c>
      <c r="H44" s="83">
        <f t="shared" si="1"/>
        <v>0.93137813121453317</v>
      </c>
      <c r="I44" s="89">
        <f t="shared" si="2"/>
        <v>0.98</v>
      </c>
      <c r="J44" s="46">
        <f>VLOOKUP($A44,'SWIR data'!$A$5:$K$795,11)/100</f>
        <v>0.7</v>
      </c>
      <c r="K44" s="90">
        <f t="shared" si="3"/>
        <v>1.7261604493194982</v>
      </c>
      <c r="M44" s="6">
        <f t="shared" si="4"/>
        <v>0.75609756097561043</v>
      </c>
    </row>
    <row r="45" spans="1:13" ht="15">
      <c r="A45" s="79">
        <f t="shared" si="5"/>
        <v>0.86829268292682971</v>
      </c>
      <c r="B45" s="83">
        <f>IF($A45&lt;&gt;"",IF($D$5="pAu",VLOOKUP(A45,pAg!$A$2:$C$47,3),VLOOKUP(A45,pAg!$O$3:$P1213,2)),"")</f>
        <v>0.97729577142727275</v>
      </c>
      <c r="C45" s="87">
        <f>IF($A45&lt;&gt;"",1-VLOOKUP($M45,'AR sim'!$E$10:$F$38,2)*CoroImg!$D$10/'AR sim'!$D$42,"")</f>
        <v>0.99015051020408174</v>
      </c>
      <c r="D45" s="88">
        <f t="shared" si="7"/>
        <v>0.95</v>
      </c>
      <c r="E45" s="87">
        <f>IF($K$10=1, IF($J$10="R",VLOOKUP($A45,dichroic!$F$5:$H$1232,3),VLOOKUP($A45,dichroic!$F$5:$H$1232,2)),1)</f>
        <v>1</v>
      </c>
      <c r="F45" s="83">
        <f t="shared" si="6"/>
        <v>0.70703070118526512</v>
      </c>
      <c r="G45" s="83">
        <f t="shared" si="0"/>
        <v>0.75912315040432066</v>
      </c>
      <c r="H45" s="83">
        <f t="shared" si="1"/>
        <v>0.93137813121453317</v>
      </c>
      <c r="I45" s="89">
        <f t="shared" si="2"/>
        <v>0.98</v>
      </c>
      <c r="J45" s="46">
        <f>VLOOKUP($A45,'SWIR data'!$A$5:$K$795,11)/100</f>
        <v>0.7</v>
      </c>
      <c r="K45" s="90">
        <f t="shared" si="3"/>
        <v>1.7185465264167028</v>
      </c>
      <c r="M45" s="6">
        <f t="shared" si="4"/>
        <v>0.78048780487804947</v>
      </c>
    </row>
    <row r="46" spans="1:13" ht="15">
      <c r="A46" s="79">
        <f t="shared" si="5"/>
        <v>0.88292682926829313</v>
      </c>
      <c r="B46" s="83">
        <f>IF($A46&lt;&gt;"",IF($D$5="pAu",VLOOKUP(A46,pAg!$A$2:$C$47,3),VLOOKUP(A46,pAg!$O$3:$P1214,2)),"")</f>
        <v>0.97696139805909099</v>
      </c>
      <c r="C46" s="87">
        <f>IF($A46&lt;&gt;"",1-VLOOKUP($M46,'AR sim'!$E$10:$F$38,2)*CoroImg!$D$10/'AR sim'!$D$42,"")</f>
        <v>0.98939285714285718</v>
      </c>
      <c r="D46" s="88">
        <f t="shared" si="7"/>
        <v>0.95</v>
      </c>
      <c r="E46" s="87">
        <f>IF($K$10=1, IF($J$10="R",VLOOKUP($A46,dichroic!$F$5:$H$1232,3),VLOOKUP($A46,dichroic!$F$5:$H$1232,2)),1)</f>
        <v>1</v>
      </c>
      <c r="F46" s="83">
        <f t="shared" si="6"/>
        <v>0.70305612463542222</v>
      </c>
      <c r="G46" s="83">
        <f t="shared" si="0"/>
        <v>0.75601227899358125</v>
      </c>
      <c r="H46" s="83">
        <f t="shared" si="1"/>
        <v>0.92995331447704077</v>
      </c>
      <c r="I46" s="89">
        <f t="shared" si="2"/>
        <v>0.98</v>
      </c>
      <c r="J46" s="46">
        <f>VLOOKUP($A46,'SWIR data'!$A$5:$K$795,11)/100</f>
        <v>0.7</v>
      </c>
      <c r="K46" s="90">
        <f t="shared" si="3"/>
        <v>1.7088857087007827</v>
      </c>
      <c r="M46" s="6">
        <f t="shared" si="4"/>
        <v>0.80487804878048852</v>
      </c>
    </row>
    <row r="47" spans="1:13" ht="15">
      <c r="A47" s="79">
        <f t="shared" si="5"/>
        <v>0.89756097560975656</v>
      </c>
      <c r="B47" s="83">
        <f>IF($A47&lt;&gt;"",IF($D$5="pAu",VLOOKUP(A47,pAg!$A$2:$C$47,3),VLOOKUP(A47,pAg!$O$3:$P1215,2)),"")</f>
        <v>0.97655216450909077</v>
      </c>
      <c r="C47" s="87">
        <f>IF($A47&lt;&gt;"",1-VLOOKUP($M47,'AR sim'!$E$10:$F$38,2)*CoroImg!$D$10/'AR sim'!$D$42,"")</f>
        <v>0.98863520408163263</v>
      </c>
      <c r="D47" s="88">
        <f t="shared" si="7"/>
        <v>0.95</v>
      </c>
      <c r="E47" s="87">
        <f>IF($K$10=1, IF($J$10="R",VLOOKUP($A47,dichroic!$F$5:$H$1232,3),VLOOKUP($A47,dichroic!$F$5:$H$1232,2)),1)</f>
        <v>1</v>
      </c>
      <c r="F47" s="83">
        <f t="shared" si="6"/>
        <v>0.69845931068996359</v>
      </c>
      <c r="G47" s="83">
        <f t="shared" si="0"/>
        <v>0.75222084401688161</v>
      </c>
      <c r="H47" s="83">
        <f t="shared" si="1"/>
        <v>0.9285295884120548</v>
      </c>
      <c r="I47" s="89">
        <f t="shared" si="2"/>
        <v>0.98</v>
      </c>
      <c r="J47" s="46">
        <f>VLOOKUP($A47,'SWIR data'!$A$5:$K$795,11)/100</f>
        <v>0.7</v>
      </c>
      <c r="K47" s="90">
        <f t="shared" si="3"/>
        <v>1.6977124475887713</v>
      </c>
      <c r="M47" s="6">
        <f t="shared" si="4"/>
        <v>0.82926829268292757</v>
      </c>
    </row>
    <row r="48" spans="1:13" ht="15">
      <c r="A48" s="79">
        <f t="shared" si="5"/>
        <v>0.91219512195121999</v>
      </c>
      <c r="B48" s="83">
        <f>IF($A48&lt;&gt;"",IF($D$5="pAu",VLOOKUP(A48,pAg!$A$2:$C$47,3),VLOOKUP(A48,pAg!$O$3:$P1216,2)),"")</f>
        <v>0.97619193199545462</v>
      </c>
      <c r="C48" s="87">
        <f>IF($A48&lt;&gt;"",1-VLOOKUP($M48,'AR sim'!$E$10:$F$38,2)*CoroImg!$D$10/'AR sim'!$D$42,"")</f>
        <v>0.98863520408163263</v>
      </c>
      <c r="D48" s="88">
        <f t="shared" si="7"/>
        <v>0.95</v>
      </c>
      <c r="E48" s="87">
        <f>IF($K$10=1, IF($J$10="R",VLOOKUP($A48,dichroic!$F$5:$H$1232,3),VLOOKUP($A48,dichroic!$F$5:$H$1232,2)),1)</f>
        <v>1</v>
      </c>
      <c r="F48" s="83">
        <f t="shared" si="6"/>
        <v>0.69537378696912355</v>
      </c>
      <c r="G48" s="83">
        <f t="shared" si="0"/>
        <v>0.74889782258671178</v>
      </c>
      <c r="H48" s="83">
        <f t="shared" si="1"/>
        <v>0.9285295884120548</v>
      </c>
      <c r="I48" s="89">
        <f t="shared" si="2"/>
        <v>0.98</v>
      </c>
      <c r="J48" s="46">
        <f>VLOOKUP($A48,'SWIR data'!$A$5:$K$795,11)/100</f>
        <v>0.7</v>
      </c>
      <c r="K48" s="90">
        <f t="shared" si="3"/>
        <v>1.6902126090899101</v>
      </c>
      <c r="M48" s="6">
        <f t="shared" si="4"/>
        <v>0.85365853658536661</v>
      </c>
    </row>
    <row r="49" spans="1:13" ht="15">
      <c r="A49" s="79">
        <f t="shared" si="5"/>
        <v>0.92682926829268342</v>
      </c>
      <c r="B49" s="83">
        <f>IF($A49&lt;&gt;"",IF($D$5="pAu",VLOOKUP(A49,pAg!$A$2:$C$47,3),VLOOKUP(A49,pAg!$O$3:$P1217,2)),"")</f>
        <v>0.97593822960909093</v>
      </c>
      <c r="C49" s="87">
        <f>IF($A49&lt;&gt;"",1-VLOOKUP($M49,'AR sim'!$E$10:$F$38,2)*CoroImg!$D$10/'AR sim'!$D$42,"")</f>
        <v>0.9878775510204082</v>
      </c>
      <c r="D49" s="88">
        <f t="shared" si="7"/>
        <v>0.95</v>
      </c>
      <c r="E49" s="87">
        <f>IF($K$10=1, IF($J$10="R",VLOOKUP($A49,dichroic!$F$5:$H$1232,3),VLOOKUP($A49,dichroic!$F$5:$H$1232,2)),1)</f>
        <v>1</v>
      </c>
      <c r="F49" s="83">
        <f t="shared" si="6"/>
        <v>0.69214614634126803</v>
      </c>
      <c r="G49" s="83">
        <f t="shared" si="0"/>
        <v>0.7465655867286477</v>
      </c>
      <c r="H49" s="83">
        <f t="shared" si="1"/>
        <v>0.92710695301957513</v>
      </c>
      <c r="I49" s="89">
        <f t="shared" si="2"/>
        <v>0.98</v>
      </c>
      <c r="J49" s="46">
        <f>VLOOKUP($A49,'SWIR data'!$A$5:$K$795,11)/100</f>
        <v>0.7</v>
      </c>
      <c r="K49" s="90">
        <f t="shared" si="3"/>
        <v>1.6823673336581306</v>
      </c>
      <c r="M49" s="6">
        <f t="shared" si="4"/>
        <v>0.87804878048780566</v>
      </c>
    </row>
    <row r="50" spans="1:13" ht="15">
      <c r="A50" s="79">
        <f t="shared" si="5"/>
        <v>0.94146341463414684</v>
      </c>
      <c r="B50" s="83">
        <f>IF($A50&lt;&gt;"",IF($D$5="pAu",VLOOKUP(A50,pAg!$A$2:$C$47,3),VLOOKUP(A50,pAg!$O$3:$P1218,2)),"")</f>
        <v>0.97559227172727281</v>
      </c>
      <c r="C50" s="87">
        <f>IF($A50&lt;&gt;"",1-VLOOKUP($M50,'AR sim'!$E$10:$F$38,2)*CoroImg!$D$10/'AR sim'!$D$42,"")</f>
        <v>0.98333163265306123</v>
      </c>
      <c r="D50" s="88">
        <f t="shared" si="7"/>
        <v>0.95</v>
      </c>
      <c r="E50" s="87">
        <f>IF($K$10=1, IF($J$10="R",VLOOKUP($A50,dichroic!$F$5:$H$1232,3),VLOOKUP($A50,dichroic!$F$5:$H$1232,2)),1)</f>
        <v>1</v>
      </c>
      <c r="F50" s="83">
        <f t="shared" si="6"/>
        <v>0.68287913240743459</v>
      </c>
      <c r="G50" s="83">
        <f t="shared" si="0"/>
        <v>0.7433959933471308</v>
      </c>
      <c r="H50" s="83">
        <f t="shared" si="1"/>
        <v>0.9185940447873282</v>
      </c>
      <c r="I50" s="89">
        <f t="shared" si="2"/>
        <v>0.98</v>
      </c>
      <c r="J50" s="46">
        <f>VLOOKUP($A50,'SWIR data'!$A$5:$K$795,11)/100</f>
        <v>0.7</v>
      </c>
      <c r="K50" s="90">
        <f t="shared" si="3"/>
        <v>1.6598424354047072</v>
      </c>
      <c r="M50" s="6">
        <f t="shared" si="4"/>
        <v>0.9024390243902447</v>
      </c>
    </row>
    <row r="51" spans="1:13" ht="15">
      <c r="A51" s="79">
        <f t="shared" si="5"/>
        <v>0.95609756097561027</v>
      </c>
      <c r="B51" s="83">
        <f>IF($A51&lt;&gt;"",IF($D$5="pAu",VLOOKUP(A51,pAg!$A$2:$C$47,3),VLOOKUP(A51,pAg!$O$3:$P1219,2)),"")</f>
        <v>0.97530004203636378</v>
      </c>
      <c r="C51" s="87">
        <f>IF($A51&lt;&gt;"",1-VLOOKUP($M51,'AR sim'!$E$10:$F$38,2)*CoroImg!$D$10/'AR sim'!$D$42,"")</f>
        <v>0.98333163265306123</v>
      </c>
      <c r="D51" s="88">
        <f t="shared" si="7"/>
        <v>0.95</v>
      </c>
      <c r="E51" s="87">
        <f>IF($K$10=1, IF($J$10="R",VLOOKUP($A51,dichroic!$F$5:$H$1232,3),VLOOKUP($A51,dichroic!$F$5:$H$1232,2)),1)</f>
        <v>1</v>
      </c>
      <c r="F51" s="83">
        <f t="shared" si="6"/>
        <v>0.68042857031540971</v>
      </c>
      <c r="G51" s="83">
        <f t="shared" si="0"/>
        <v>0.74072826203978026</v>
      </c>
      <c r="H51" s="83">
        <f t="shared" si="1"/>
        <v>0.9185940447873282</v>
      </c>
      <c r="I51" s="89">
        <f t="shared" si="2"/>
        <v>0.98</v>
      </c>
      <c r="J51" s="46">
        <f>VLOOKUP($A51,'SWIR data'!$A$5:$K$795,11)/100</f>
        <v>0.7</v>
      </c>
      <c r="K51" s="90">
        <f t="shared" si="3"/>
        <v>1.6538859685017033</v>
      </c>
      <c r="M51" s="6">
        <f t="shared" si="4"/>
        <v>0.92682926829268375</v>
      </c>
    </row>
    <row r="52" spans="1:13" ht="15">
      <c r="A52" s="79">
        <f t="shared" si="5"/>
        <v>0.9707317073170737</v>
      </c>
      <c r="B52" s="83">
        <f>IF($A52&lt;&gt;"",IF($D$5="pAu",VLOOKUP(A52,pAg!$A$2:$C$47,3),VLOOKUP(A52,pAg!$O$3:$P1220,2)),"")</f>
        <v>0.97516495812272741</v>
      </c>
      <c r="C52" s="87">
        <f>IF($A52&lt;&gt;"",1-VLOOKUP($M52,'AR sim'!$E$10:$F$38,2)*CoroImg!$D$10/'AR sim'!$D$42,"")</f>
        <v>0.97878571428571437</v>
      </c>
      <c r="D52" s="88">
        <f t="shared" si="7"/>
        <v>0.95</v>
      </c>
      <c r="E52" s="87">
        <f>IF($K$10=1, IF($J$10="R",VLOOKUP($A52,dichroic!$F$5:$H$1232,3),VLOOKUP($A52,dichroic!$F$5:$H$1232,2)),1)</f>
        <v>1</v>
      </c>
      <c r="F52" s="83">
        <f t="shared" si="6"/>
        <v>0.67303227511237729</v>
      </c>
      <c r="G52" s="83">
        <f t="shared" si="0"/>
        <v>0.73949806481256197</v>
      </c>
      <c r="H52" s="83">
        <f t="shared" si="1"/>
        <v>0.91012040076530631</v>
      </c>
      <c r="I52" s="89">
        <f t="shared" si="2"/>
        <v>0.98</v>
      </c>
      <c r="J52" s="46">
        <f>VLOOKUP($A52,'SWIR data'!$A$5:$K$795,11)/100</f>
        <v>0.7</v>
      </c>
      <c r="K52" s="90">
        <f t="shared" si="3"/>
        <v>1.6359081389559489</v>
      </c>
      <c r="M52" s="6">
        <f t="shared" si="4"/>
        <v>0.9512195121951228</v>
      </c>
    </row>
    <row r="53" spans="1:13" ht="15">
      <c r="A53" s="79">
        <f t="shared" si="5"/>
        <v>0.98536585365853713</v>
      </c>
      <c r="B53" s="83">
        <f>IF($A53&lt;&gt;"",IF($D$5="pAu",VLOOKUP(A53,pAg!$A$2:$C$47,3),VLOOKUP(A53,pAg!$O$3:$P1221,2)),"")</f>
        <v>0.97499124469090914</v>
      </c>
      <c r="C53" s="87">
        <f>IF($A53&lt;&gt;"",1-VLOOKUP($M53,'AR sim'!$E$10:$F$38,2)*CoroImg!$D$10/'AR sim'!$D$42,"")</f>
        <v>0.9742397959183674</v>
      </c>
      <c r="D53" s="88">
        <f t="shared" si="7"/>
        <v>0.95</v>
      </c>
      <c r="E53" s="87">
        <f>IF($K$10=1, IF($J$10="R",VLOOKUP($A53,dichroic!$F$5:$H$1232,3),VLOOKUP($A53,dichroic!$F$5:$H$1232,2)),1)</f>
        <v>1</v>
      </c>
      <c r="F53" s="83">
        <f t="shared" si="6"/>
        <v>0.66537108890840946</v>
      </c>
      <c r="G53" s="83">
        <f t="shared" si="0"/>
        <v>0.73791882478647863</v>
      </c>
      <c r="H53" s="83">
        <f t="shared" si="1"/>
        <v>0.90168602095350903</v>
      </c>
      <c r="I53" s="89">
        <f t="shared" si="2"/>
        <v>0.98</v>
      </c>
      <c r="J53" s="46">
        <f>VLOOKUP($A53,'SWIR data'!$A$5:$K$795,11)/100</f>
        <v>0.7</v>
      </c>
      <c r="K53" s="90">
        <f t="shared" si="3"/>
        <v>1.6172864512173701</v>
      </c>
      <c r="M53" s="6">
        <f t="shared" si="4"/>
        <v>0.97560975609756184</v>
      </c>
    </row>
    <row r="54" spans="1:13" ht="15">
      <c r="A54" s="79">
        <f t="shared" si="5"/>
        <v>1.0000000000000004</v>
      </c>
      <c r="B54" s="83">
        <f>IF($A54&lt;&gt;"",IF($D$5="pAu",VLOOKUP(A54,pAg!$A$2:$C$47,3),VLOOKUP(A54,pAg!$O$3:$P1222,2)),"")</f>
        <v>0.97483175433181801</v>
      </c>
      <c r="C54" s="87">
        <f>IF($A54&lt;&gt;"",1-VLOOKUP($M54,'AR sim'!$E$10:$F$38,2)*CoroImg!$D$10/'AR sim'!$D$42,"")</f>
        <v>0.96969387755102043</v>
      </c>
      <c r="D54" s="88">
        <f t="shared" si="7"/>
        <v>0.95</v>
      </c>
      <c r="E54" s="87">
        <f>IF($K$10=1, IF($J$10="R",VLOOKUP($A54,dichroic!$F$5:$H$1232,3),VLOOKUP($A54,dichroic!$F$5:$H$1232,2)),1)</f>
        <v>1</v>
      </c>
      <c r="F54" s="83">
        <f t="shared" si="6"/>
        <v>0.65788339165492915</v>
      </c>
      <c r="G54" s="83">
        <f t="shared" si="0"/>
        <v>0.73647161043886122</v>
      </c>
      <c r="H54" s="83">
        <f t="shared" si="1"/>
        <v>0.89329090535193667</v>
      </c>
      <c r="I54" s="89">
        <f t="shared" si="2"/>
        <v>0.98</v>
      </c>
      <c r="J54" s="46">
        <f>VLOOKUP($A54,'SWIR data'!$A$5:$K$795,11)/100</f>
        <v>0.7</v>
      </c>
      <c r="K54" s="90">
        <f t="shared" si="3"/>
        <v>1.5990864549735624</v>
      </c>
      <c r="M54" s="6">
        <f t="shared" si="4"/>
        <v>1.0000000000000007</v>
      </c>
    </row>
    <row r="55" spans="1:13" ht="19.5" customHeight="1">
      <c r="A55" s="80" t="s">
        <v>335</v>
      </c>
      <c r="B55" s="81">
        <f>AVERAGE(B13:B54)</f>
        <v>0.97800900495822507</v>
      </c>
      <c r="C55" s="81">
        <f t="shared" ref="C55:D55" si="10">AVERAGE(C13:C54)</f>
        <v>0.98387281341107902</v>
      </c>
      <c r="D55" s="81">
        <f t="shared" si="10"/>
        <v>0.95000000000000018</v>
      </c>
      <c r="E55" s="81"/>
      <c r="F55" s="81">
        <f t="shared" ref="F55:K55" si="11">AVERAGE(F13:F54)</f>
        <v>0.70701259388303128</v>
      </c>
      <c r="G55" s="81">
        <f t="shared" si="11"/>
        <v>0.76801335669460324</v>
      </c>
      <c r="H55" s="81">
        <f t="shared" si="11"/>
        <v>0.91966822631478895</v>
      </c>
      <c r="I55" s="81">
        <f t="shared" si="11"/>
        <v>0.97999999999999954</v>
      </c>
      <c r="J55" s="81">
        <f t="shared" si="11"/>
        <v>0.70915575652174123</v>
      </c>
      <c r="K55" s="81">
        <f t="shared" si="11"/>
        <v>1.7471277798006295</v>
      </c>
      <c r="M55" s="6"/>
    </row>
    <row r="56" spans="1:13" ht="15">
      <c r="A56" s="82" t="s">
        <v>370</v>
      </c>
      <c r="B56" s="83">
        <f>STDEV(B13:B54)</f>
        <v>6.7944786824098444E-3</v>
      </c>
      <c r="C56" s="83">
        <f t="shared" ref="C56:D56" si="12">STDEV(C13:C54)</f>
        <v>8.2290036875521892E-3</v>
      </c>
      <c r="D56" s="83">
        <f t="shared" si="12"/>
        <v>1.8617363201213607E-8</v>
      </c>
      <c r="E56" s="83"/>
      <c r="F56" s="83">
        <f t="shared" ref="F56:K56" si="13">STDEV(F13:F54)</f>
        <v>6.0391715208730296E-2</v>
      </c>
      <c r="G56" s="83">
        <f t="shared" si="13"/>
        <v>5.6914662217627747E-2</v>
      </c>
      <c r="H56" s="83">
        <f t="shared" si="13"/>
        <v>1.5262375287620308E-2</v>
      </c>
      <c r="I56" s="83">
        <f t="shared" si="13"/>
        <v>2.9436635871219325E-8</v>
      </c>
      <c r="J56" s="83">
        <f t="shared" si="13"/>
        <v>3.627074686923587E-2</v>
      </c>
      <c r="K56" s="83">
        <f t="shared" si="13"/>
        <v>0.21505914831737896</v>
      </c>
      <c r="M56" s="6"/>
    </row>
    <row r="57" spans="1:13" ht="15">
      <c r="A57" s="82" t="s">
        <v>336</v>
      </c>
      <c r="B57" s="83">
        <f>MIN(B13:B54)</f>
        <v>0.94457647183636373</v>
      </c>
      <c r="C57" s="83">
        <f t="shared" ref="C57:D57" si="14">MIN(C13:C54)</f>
        <v>0.95757142857142852</v>
      </c>
      <c r="D57" s="83">
        <f t="shared" si="14"/>
        <v>0.95</v>
      </c>
      <c r="E57" s="83"/>
      <c r="F57" s="83">
        <f t="shared" ref="F57:K57" si="15">MIN(F13:F54)</f>
        <v>0.43945200275922114</v>
      </c>
      <c r="G57" s="83">
        <f t="shared" si="15"/>
        <v>0.5044817779784887</v>
      </c>
      <c r="H57" s="83">
        <f t="shared" si="15"/>
        <v>0.87109588877551003</v>
      </c>
      <c r="I57" s="83">
        <f t="shared" si="15"/>
        <v>0.98</v>
      </c>
      <c r="J57" s="83">
        <f t="shared" si="15"/>
        <v>0.6</v>
      </c>
      <c r="K57" s="83">
        <f t="shared" si="15"/>
        <v>0.9155618337801521</v>
      </c>
      <c r="M57" s="6"/>
    </row>
    <row r="58" spans="1:13" ht="15">
      <c r="A58" s="82" t="s">
        <v>337</v>
      </c>
      <c r="B58" s="83">
        <f>MAX(B13:B54)</f>
        <v>0.98312711817727261</v>
      </c>
      <c r="C58" s="83">
        <f t="shared" ref="C58:D58" si="16">MAX(C13:C54)</f>
        <v>0.99090816326530629</v>
      </c>
      <c r="D58" s="83">
        <f t="shared" si="16"/>
        <v>0.95</v>
      </c>
      <c r="E58" s="83"/>
      <c r="F58" s="83">
        <f t="shared" ref="F58:K58" si="17">MAX(F13:F54)</f>
        <v>0.76051279614139822</v>
      </c>
      <c r="G58" s="83">
        <f t="shared" si="17"/>
        <v>0.81529749513393401</v>
      </c>
      <c r="H58" s="83">
        <f t="shared" si="17"/>
        <v>0.93280403862453165</v>
      </c>
      <c r="I58" s="83">
        <f t="shared" si="17"/>
        <v>0.98</v>
      </c>
      <c r="J58" s="83">
        <f t="shared" si="17"/>
        <v>0.76648460734368062</v>
      </c>
      <c r="K58" s="83">
        <f t="shared" si="17"/>
        <v>1.9987087509897785</v>
      </c>
      <c r="M58" s="6"/>
    </row>
    <row r="59" spans="1:13">
      <c r="K59" s="5"/>
      <c r="L59" s="5"/>
    </row>
    <row r="60" spans="1:13">
      <c r="F60" s="6"/>
      <c r="G60" s="6"/>
      <c r="H60" s="6"/>
      <c r="I60" s="6"/>
      <c r="K60" s="7"/>
      <c r="L60" s="7"/>
    </row>
    <row r="61" spans="1:13">
      <c r="D61" s="6"/>
      <c r="E61" s="6"/>
      <c r="F61" s="6"/>
      <c r="G61" s="6"/>
      <c r="H61" s="6"/>
      <c r="I61" s="6"/>
      <c r="K61" s="7"/>
      <c r="L61" s="7"/>
    </row>
  </sheetData>
  <mergeCells count="12">
    <mergeCell ref="A11:C11"/>
    <mergeCell ref="H1:I1"/>
    <mergeCell ref="G3:I3"/>
    <mergeCell ref="G4:J4"/>
    <mergeCell ref="A5:B5"/>
    <mergeCell ref="G5:J5"/>
    <mergeCell ref="G6:J6"/>
    <mergeCell ref="G7:J7"/>
    <mergeCell ref="G8:J8"/>
    <mergeCell ref="A9:B9"/>
    <mergeCell ref="G9:I9"/>
    <mergeCell ref="A10:B10"/>
  </mergeCells>
  <phoneticPr fontId="26" type="noConversion"/>
  <printOptions gridLines="1"/>
  <pageMargins left="0.24" right="0.19" top="0.62" bottom="0.7" header="0.5" footer="0.5"/>
  <headerFooter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6" enableFormatConditionsCalculation="0"/>
  <dimension ref="A1:L10"/>
  <sheetViews>
    <sheetView workbookViewId="0">
      <selection activeCell="I39" sqref="I39"/>
    </sheetView>
  </sheetViews>
  <sheetFormatPr baseColWidth="10" defaultColWidth="8.83203125" defaultRowHeight="12"/>
  <cols>
    <col min="1" max="1" width="15.83203125" customWidth="1"/>
    <col min="2" max="2" width="5.1640625" customWidth="1"/>
  </cols>
  <sheetData>
    <row r="1" spans="1:12">
      <c r="A1" t="s">
        <v>102</v>
      </c>
    </row>
    <row r="3" spans="1:12">
      <c r="A3" s="152" t="s">
        <v>103</v>
      </c>
      <c r="B3" s="152" t="s">
        <v>106</v>
      </c>
      <c r="C3" s="152" t="s">
        <v>104</v>
      </c>
      <c r="D3" s="152" t="str">
        <f>'cycle4 AFTA filters 2'!A3</f>
        <v>Z087</v>
      </c>
      <c r="E3" s="152" t="str">
        <f>'cycle4 AFTA filters 2'!A4</f>
        <v>Y106</v>
      </c>
      <c r="F3" s="152" t="str">
        <f>'cycle4 AFTA filters 2'!A5</f>
        <v>J129</v>
      </c>
      <c r="G3" s="152" t="str">
        <f>'cycle4 AFTA filters 2'!A6</f>
        <v>H158</v>
      </c>
      <c r="H3" s="152" t="str">
        <f>'cycle4 AFTA filters 2'!A7</f>
        <v>F184</v>
      </c>
      <c r="I3" s="152" t="str">
        <f>'cycle4 AFTA filters 2'!A8</f>
        <v>W149</v>
      </c>
      <c r="J3" s="152" t="s">
        <v>5</v>
      </c>
      <c r="K3" s="153" t="s">
        <v>33</v>
      </c>
      <c r="L3" s="164"/>
    </row>
    <row r="4" spans="1:12">
      <c r="A4" s="152" t="s">
        <v>105</v>
      </c>
      <c r="B4" s="152" t="s">
        <v>333</v>
      </c>
      <c r="C4" s="152">
        <f>ImC!E3</f>
        <v>0.76</v>
      </c>
      <c r="D4" s="152">
        <f>'cycle4 AFTA filters 2'!B3</f>
        <v>0.76</v>
      </c>
      <c r="E4" s="152">
        <f>'cycle4 AFTA filters 2'!B4</f>
        <v>0.92714285714285716</v>
      </c>
      <c r="F4" s="152">
        <f>'cycle4 AFTA filters 2'!B5</f>
        <v>1.1310445757250271</v>
      </c>
      <c r="G4" s="152">
        <f>'cycle4 AFTA filters 2'!B6</f>
        <v>1.3797893414389899</v>
      </c>
      <c r="H4" s="152">
        <f>'cycle4 AFTA filters 2'!B7</f>
        <v>1.6832392529960609</v>
      </c>
      <c r="I4" s="152">
        <f>'cycle4 AFTA filters 2'!B8</f>
        <v>0.92714285714285716</v>
      </c>
      <c r="J4" s="152">
        <f>GRS!D3</f>
        <v>1.35</v>
      </c>
      <c r="K4" s="152">
        <f>IFU!E3</f>
        <v>0.6</v>
      </c>
      <c r="L4" s="4"/>
    </row>
    <row r="5" spans="1:12">
      <c r="A5" s="152" t="s">
        <v>107</v>
      </c>
      <c r="B5" s="152" t="s">
        <v>333</v>
      </c>
      <c r="C5" s="152">
        <f>ImC!E4</f>
        <v>2</v>
      </c>
      <c r="D5" s="163">
        <f>'cycle4 AFTA filters 2'!C3</f>
        <v>0.9771428571428572</v>
      </c>
      <c r="E5" s="163">
        <f>'cycle4 AFTA filters 2'!C4</f>
        <v>1.1920408163265308</v>
      </c>
      <c r="F5" s="163">
        <f>'cycle4 AFTA filters 2'!C5</f>
        <v>1.4542001687893207</v>
      </c>
      <c r="G5" s="163">
        <f>'cycle4 AFTA filters 2'!C6</f>
        <v>1.7740148675644156</v>
      </c>
      <c r="H5" s="163">
        <f>'cycle4 AFTA filters 2'!C7</f>
        <v>2</v>
      </c>
      <c r="I5" s="163">
        <f>'cycle4 AFTA filters 2'!C8</f>
        <v>2</v>
      </c>
      <c r="J5" s="152">
        <f>GRS!D4</f>
        <v>1.95</v>
      </c>
      <c r="K5" s="152">
        <f>IFU!E4</f>
        <v>2</v>
      </c>
      <c r="L5" s="4"/>
    </row>
    <row r="6" spans="1:12">
      <c r="A6" s="152" t="s">
        <v>108</v>
      </c>
      <c r="B6" s="153" t="s">
        <v>111</v>
      </c>
      <c r="C6" s="163">
        <f>ImC!L55</f>
        <v>2.306021635327864</v>
      </c>
      <c r="D6" s="163">
        <f ca="1">'Z087'!L55</f>
        <v>1.9604336691474171</v>
      </c>
      <c r="E6" s="163">
        <f ca="1">'Y106'!L55</f>
        <v>2.010353587997852</v>
      </c>
      <c r="F6" s="163">
        <f ca="1">'J129'!L55</f>
        <v>2.2608194827813399</v>
      </c>
      <c r="G6" s="163">
        <f ca="1">'H158'!L55</f>
        <v>2.4892780527765761</v>
      </c>
      <c r="H6" s="163">
        <f ca="1">'F184'!L55</f>
        <v>2.438281598897968</v>
      </c>
      <c r="I6" s="163">
        <f ca="1">'W149'!L55</f>
        <v>2.3106792373921312</v>
      </c>
      <c r="J6" s="163">
        <f>GRS!K55</f>
        <v>1.7446669634086658</v>
      </c>
      <c r="K6" s="163">
        <f ca="1">IFU!L55</f>
        <v>1.763064225653741</v>
      </c>
      <c r="L6" s="46"/>
    </row>
    <row r="7" spans="1:12">
      <c r="A7" s="152" t="s">
        <v>109</v>
      </c>
      <c r="B7" s="153" t="s">
        <v>111</v>
      </c>
      <c r="C7" s="163">
        <f>ImC!L57</f>
        <v>1.9321652433016976</v>
      </c>
      <c r="D7" s="163">
        <f ca="1">'Z087'!L57</f>
        <v>0.46715974028268109</v>
      </c>
      <c r="E7" s="163">
        <f ca="1">'Y106'!L57</f>
        <v>0.70839115986696277</v>
      </c>
      <c r="F7" s="163">
        <f ca="1">'J129'!L57</f>
        <v>1.0953720632271022</v>
      </c>
      <c r="G7" s="163">
        <f ca="1">'H158'!L57</f>
        <v>0.89486504284061308</v>
      </c>
      <c r="H7" s="163">
        <f ca="1">'F184'!L57</f>
        <v>1.2341939089354406</v>
      </c>
      <c r="I7" s="163">
        <f ca="1">'W149'!L57</f>
        <v>0.67340456103417046</v>
      </c>
      <c r="J7" s="163">
        <f>GRS!K57</f>
        <v>1.2330717411425856</v>
      </c>
      <c r="K7" s="163">
        <f ca="1">IFU!L57</f>
        <v>1.4414940318953706</v>
      </c>
      <c r="L7" s="46"/>
    </row>
    <row r="8" spans="1:12">
      <c r="A8" s="152" t="s">
        <v>110</v>
      </c>
      <c r="B8" s="153" t="s">
        <v>111</v>
      </c>
      <c r="C8" s="163">
        <f>ImC!L58</f>
        <v>2.6410594542611441</v>
      </c>
      <c r="D8" s="163">
        <f ca="1">'Z087'!L58</f>
        <v>2.0980147471985884</v>
      </c>
      <c r="E8" s="163">
        <f ca="1">'Y106'!L58</f>
        <v>2.2143536606693548</v>
      </c>
      <c r="F8" s="163">
        <f ca="1">'J129'!L58</f>
        <v>2.5199583728813475</v>
      </c>
      <c r="G8" s="163">
        <f ca="1">'H158'!L58</f>
        <v>2.7177423294147429</v>
      </c>
      <c r="H8" s="163">
        <f ca="1">'F184'!L58</f>
        <v>2.6330003494972152</v>
      </c>
      <c r="I8" s="163">
        <f ca="1">'W149'!L58</f>
        <v>2.6295081290916635</v>
      </c>
      <c r="J8" s="163">
        <f>GRS!K58</f>
        <v>1.9033408628575628</v>
      </c>
      <c r="K8" s="163">
        <f ca="1">IFU!L58</f>
        <v>2.0940710333318919</v>
      </c>
      <c r="L8" s="46"/>
    </row>
    <row r="9" spans="1:12">
      <c r="C9" s="162"/>
      <c r="D9" s="162"/>
      <c r="E9" s="162"/>
      <c r="F9" s="162"/>
      <c r="G9" s="162"/>
      <c r="H9" s="162"/>
      <c r="I9" s="162"/>
    </row>
    <row r="10" spans="1:12">
      <c r="C10" s="162"/>
      <c r="D10" s="162"/>
      <c r="E10" s="162"/>
      <c r="F10" s="162"/>
      <c r="G10" s="162"/>
      <c r="H10" s="162"/>
      <c r="I10" s="162"/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I181"/>
  <sheetViews>
    <sheetView zoomScale="130" zoomScaleNormal="130" zoomScalePageLayoutView="130" workbookViewId="0">
      <pane ySplit="5280" topLeftCell="A37"/>
      <selection activeCell="C3" sqref="C3"/>
      <selection pane="bottomLeft" activeCell="G50" sqref="G50"/>
    </sheetView>
  </sheetViews>
  <sheetFormatPr baseColWidth="10" defaultColWidth="8.83203125" defaultRowHeight="14"/>
  <cols>
    <col min="1" max="1" width="15.83203125" style="189" customWidth="1"/>
    <col min="2" max="16384" width="8.83203125" style="189"/>
  </cols>
  <sheetData>
    <row r="2" spans="1:8">
      <c r="A2" s="187" t="s">
        <v>47</v>
      </c>
      <c r="B2" s="187" t="s">
        <v>336</v>
      </c>
      <c r="C2" s="187" t="s">
        <v>337</v>
      </c>
      <c r="D2" s="187" t="s">
        <v>48</v>
      </c>
      <c r="E2" s="187" t="s">
        <v>49</v>
      </c>
      <c r="F2" s="188" t="s">
        <v>186</v>
      </c>
      <c r="G2" s="187" t="s">
        <v>50</v>
      </c>
      <c r="H2" s="189" t="s">
        <v>38</v>
      </c>
    </row>
    <row r="3" spans="1:8">
      <c r="A3" s="187" t="s">
        <v>6</v>
      </c>
      <c r="B3" s="190">
        <v>0.76</v>
      </c>
      <c r="C3" s="191">
        <f>(1+2*F3)/(2*F3-1)*B3</f>
        <v>0.9771428571428572</v>
      </c>
      <c r="D3" s="191">
        <f t="shared" ref="D3:D9" si="0">0.5*(B3+C3)</f>
        <v>0.86857142857142855</v>
      </c>
      <c r="E3" s="191">
        <f>C3-B3</f>
        <v>0.21714285714285719</v>
      </c>
      <c r="F3" s="192">
        <v>4</v>
      </c>
      <c r="G3" s="193">
        <v>0.05</v>
      </c>
      <c r="H3" s="189">
        <f>IF(C3&lt;1.9,0.04,0.08)</f>
        <v>0.04</v>
      </c>
    </row>
    <row r="4" spans="1:8">
      <c r="A4" s="187" t="s">
        <v>7</v>
      </c>
      <c r="B4" s="191">
        <f>C3-G3</f>
        <v>0.92714285714285716</v>
      </c>
      <c r="C4" s="191">
        <f>(1+2*F4)/(2*F4-1)*B4</f>
        <v>1.1920408163265308</v>
      </c>
      <c r="D4" s="191">
        <f t="shared" si="0"/>
        <v>1.0595918367346939</v>
      </c>
      <c r="E4" s="191">
        <f>C4-B4</f>
        <v>0.26489795918367365</v>
      </c>
      <c r="F4" s="188">
        <f>F3</f>
        <v>4</v>
      </c>
      <c r="G4" s="191">
        <f>G3*B4/B3</f>
        <v>6.0996240601503764E-2</v>
      </c>
      <c r="H4" s="189">
        <f t="shared" ref="H4:H9" si="1">IF(C4&lt;1.9,0.04,0.08)</f>
        <v>0.04</v>
      </c>
    </row>
    <row r="5" spans="1:8">
      <c r="A5" s="187" t="s">
        <v>8</v>
      </c>
      <c r="B5" s="191">
        <f>C4-G4</f>
        <v>1.1310445757250271</v>
      </c>
      <c r="C5" s="191">
        <f>(1+2*F5)/(2*F5-1)*B5</f>
        <v>1.4542001687893207</v>
      </c>
      <c r="D5" s="191">
        <f t="shared" si="0"/>
        <v>1.2926223722571739</v>
      </c>
      <c r="E5" s="191">
        <f>C5-B5</f>
        <v>0.32315559306429353</v>
      </c>
      <c r="F5" s="188">
        <f>F4</f>
        <v>4</v>
      </c>
      <c r="G5" s="191">
        <f>G4*B5/B4</f>
        <v>7.4410827350330735E-2</v>
      </c>
      <c r="H5" s="189">
        <f t="shared" si="1"/>
        <v>0.04</v>
      </c>
    </row>
    <row r="6" spans="1:8">
      <c r="A6" s="194" t="s">
        <v>9</v>
      </c>
      <c r="B6" s="190">
        <f>C5-G5</f>
        <v>1.3797893414389899</v>
      </c>
      <c r="C6" s="190">
        <f>(1+2*F6)/(2*F6-1)*B6</f>
        <v>1.7740148675644156</v>
      </c>
      <c r="D6" s="190">
        <f t="shared" si="0"/>
        <v>1.5769021045017029</v>
      </c>
      <c r="E6" s="190">
        <f>C6-B6</f>
        <v>0.39422552612542572</v>
      </c>
      <c r="F6" s="195">
        <f>F5</f>
        <v>4</v>
      </c>
      <c r="G6" s="191">
        <f>G5*B6/B5</f>
        <v>9.0775614568354604E-2</v>
      </c>
      <c r="H6" s="189">
        <f t="shared" si="1"/>
        <v>0.04</v>
      </c>
    </row>
    <row r="7" spans="1:8">
      <c r="A7" s="194" t="s">
        <v>10</v>
      </c>
      <c r="B7" s="190">
        <f>C6-G6</f>
        <v>1.6832392529960609</v>
      </c>
      <c r="C7" s="190">
        <v>2</v>
      </c>
      <c r="D7" s="190">
        <f t="shared" si="0"/>
        <v>1.8416196264980305</v>
      </c>
      <c r="E7" s="190">
        <f>C7-B7</f>
        <v>0.31676074700393908</v>
      </c>
      <c r="F7" s="196">
        <f>D7/E7</f>
        <v>5.8139136364491808</v>
      </c>
      <c r="G7" s="191">
        <f>G6*B7/B6</f>
        <v>0.11073942453921454</v>
      </c>
      <c r="H7" s="189">
        <f t="shared" si="1"/>
        <v>0.08</v>
      </c>
    </row>
    <row r="8" spans="1:8">
      <c r="A8" s="194" t="s">
        <v>70</v>
      </c>
      <c r="B8" s="190">
        <f>B4</f>
        <v>0.92714285714285716</v>
      </c>
      <c r="C8" s="190">
        <v>2</v>
      </c>
      <c r="D8" s="190">
        <f t="shared" si="0"/>
        <v>1.4635714285714285</v>
      </c>
      <c r="E8" s="190">
        <v>1.03</v>
      </c>
      <c r="F8" s="196">
        <v>1.4417475728155338</v>
      </c>
      <c r="G8" s="197"/>
      <c r="H8" s="189">
        <f t="shared" si="1"/>
        <v>0.08</v>
      </c>
    </row>
    <row r="9" spans="1:8">
      <c r="A9" s="194" t="s">
        <v>5</v>
      </c>
      <c r="B9" s="190">
        <v>1.35</v>
      </c>
      <c r="C9" s="190">
        <v>1.95</v>
      </c>
      <c r="D9" s="190">
        <f t="shared" si="0"/>
        <v>1.65</v>
      </c>
      <c r="E9" s="190">
        <f>C9-B9</f>
        <v>0.59999999999999987</v>
      </c>
      <c r="F9" s="196">
        <v>75</v>
      </c>
      <c r="G9" s="197"/>
      <c r="H9" s="189">
        <f t="shared" si="1"/>
        <v>0.08</v>
      </c>
    </row>
    <row r="10" spans="1:8" ht="10.5" customHeight="1"/>
    <row r="11" spans="1:8" hidden="1">
      <c r="A11" s="189" t="s">
        <v>51</v>
      </c>
      <c r="B11" s="189" t="s">
        <v>52</v>
      </c>
    </row>
    <row r="12" spans="1:8" hidden="1">
      <c r="A12" s="189" t="s">
        <v>53</v>
      </c>
      <c r="B12" s="189" t="s">
        <v>54</v>
      </c>
    </row>
    <row r="13" spans="1:8" hidden="1">
      <c r="B13" s="189" t="s">
        <v>55</v>
      </c>
      <c r="C13" s="189" t="s">
        <v>56</v>
      </c>
    </row>
    <row r="14" spans="1:8" hidden="1">
      <c r="C14" s="189" t="s">
        <v>57</v>
      </c>
    </row>
    <row r="15" spans="1:8" ht="15" hidden="1" thickBot="1"/>
    <row r="16" spans="1:8" hidden="1">
      <c r="B16" s="189" t="s">
        <v>58</v>
      </c>
      <c r="F16" s="198" t="s">
        <v>59</v>
      </c>
      <c r="G16" s="199">
        <v>0</v>
      </c>
    </row>
    <row r="17" spans="1:7" ht="15" hidden="1" thickBot="1">
      <c r="B17" s="189" t="s">
        <v>60</v>
      </c>
      <c r="F17" s="200" t="s">
        <v>61</v>
      </c>
      <c r="G17" s="201">
        <v>0.95</v>
      </c>
    </row>
    <row r="18" spans="1:7" hidden="1">
      <c r="B18" s="189" t="s">
        <v>62</v>
      </c>
      <c r="F18" s="189" t="s">
        <v>362</v>
      </c>
      <c r="G18" s="189">
        <f>D19*G17</f>
        <v>22.166666666666664</v>
      </c>
    </row>
    <row r="19" spans="1:7" hidden="1">
      <c r="B19" s="189" t="s">
        <v>63</v>
      </c>
      <c r="D19" s="189">
        <f>0.35/0.015</f>
        <v>23.333333333333332</v>
      </c>
      <c r="F19" s="189" t="s">
        <v>64</v>
      </c>
      <c r="G19" s="189">
        <v>0.01</v>
      </c>
    </row>
    <row r="20" spans="1:7" hidden="1"/>
    <row r="21" spans="1:7" hidden="1">
      <c r="A21" s="189" t="s">
        <v>65</v>
      </c>
      <c r="B21" s="189" t="s">
        <v>66</v>
      </c>
    </row>
    <row r="22" spans="1:7" hidden="1">
      <c r="B22" s="189" t="s">
        <v>67</v>
      </c>
    </row>
    <row r="23" spans="1:7" hidden="1"/>
    <row r="24" spans="1:7">
      <c r="B24" s="189" t="s">
        <v>39</v>
      </c>
    </row>
    <row r="25" spans="1:7">
      <c r="A25" s="189" t="s">
        <v>47</v>
      </c>
      <c r="B25" s="205" t="s">
        <v>10</v>
      </c>
      <c r="C25" s="205" t="s">
        <v>9</v>
      </c>
      <c r="D25" s="205" t="s">
        <v>8</v>
      </c>
      <c r="E25" s="205" t="s">
        <v>70</v>
      </c>
      <c r="F25" s="205" t="s">
        <v>7</v>
      </c>
      <c r="G25" s="205" t="s">
        <v>6</v>
      </c>
    </row>
    <row r="26" spans="1:7">
      <c r="A26" s="189" t="s">
        <v>336</v>
      </c>
      <c r="B26" s="206">
        <v>1.6832392529960609</v>
      </c>
      <c r="C26" s="206">
        <v>1.3797893414389899</v>
      </c>
      <c r="D26" s="206">
        <v>1.1310445757250271</v>
      </c>
      <c r="E26" s="206">
        <v>0.92714285714285716</v>
      </c>
      <c r="F26" s="206">
        <v>0.92714285714285716</v>
      </c>
      <c r="G26" s="206">
        <v>0.76</v>
      </c>
    </row>
    <row r="27" spans="1:7">
      <c r="A27" s="189" t="s">
        <v>337</v>
      </c>
      <c r="B27" s="206">
        <v>2</v>
      </c>
      <c r="C27" s="206">
        <v>1.7740148675644156</v>
      </c>
      <c r="D27" s="206">
        <v>1.4542001687893207</v>
      </c>
      <c r="E27" s="206">
        <v>2</v>
      </c>
      <c r="F27" s="206">
        <v>1.1920408163265308</v>
      </c>
      <c r="G27" s="206">
        <v>0.9771428571428572</v>
      </c>
    </row>
    <row r="28" spans="1:7">
      <c r="A28" s="189" t="s">
        <v>48</v>
      </c>
      <c r="B28" s="206">
        <v>1.8416196264980305</v>
      </c>
      <c r="C28" s="206">
        <v>1.5769021045017029</v>
      </c>
      <c r="D28" s="206">
        <v>1.2926223722571739</v>
      </c>
      <c r="E28" s="206">
        <v>1.4635714285714285</v>
      </c>
      <c r="F28" s="206">
        <v>1.0595918367346939</v>
      </c>
      <c r="G28" s="206">
        <v>0.86857142857142855</v>
      </c>
    </row>
    <row r="29" spans="1:7">
      <c r="A29" s="189" t="s">
        <v>38</v>
      </c>
      <c r="B29" s="189">
        <f>IF(B27&gt;1.9,0.08,0.04)</f>
        <v>0.08</v>
      </c>
      <c r="C29" s="189">
        <f t="shared" ref="C29:G29" si="2">IF(C27&gt;1.9,0.08,0.04)</f>
        <v>0.04</v>
      </c>
      <c r="D29" s="189">
        <f t="shared" si="2"/>
        <v>0.04</v>
      </c>
      <c r="E29" s="189">
        <f t="shared" si="2"/>
        <v>0.08</v>
      </c>
      <c r="F29" s="189">
        <f t="shared" si="2"/>
        <v>0.04</v>
      </c>
      <c r="G29" s="189">
        <f t="shared" si="2"/>
        <v>0.04</v>
      </c>
    </row>
    <row r="31" spans="1:7">
      <c r="A31" s="189" t="s">
        <v>68</v>
      </c>
    </row>
    <row r="32" spans="1:7">
      <c r="B32" s="189" t="s">
        <v>69</v>
      </c>
    </row>
    <row r="33" spans="1:9">
      <c r="A33" s="189" t="s">
        <v>332</v>
      </c>
      <c r="B33" s="203" t="str">
        <f>B25</f>
        <v>F184</v>
      </c>
      <c r="C33" s="203" t="str">
        <f t="shared" ref="C33:G33" si="3">C25</f>
        <v>H158</v>
      </c>
      <c r="D33" s="203" t="str">
        <f t="shared" si="3"/>
        <v>J129</v>
      </c>
      <c r="E33" s="203" t="str">
        <f t="shared" si="3"/>
        <v>W149</v>
      </c>
      <c r="F33" s="203" t="str">
        <f t="shared" si="3"/>
        <v>Y106</v>
      </c>
      <c r="G33" s="203" t="str">
        <f t="shared" si="3"/>
        <v>Z087</v>
      </c>
      <c r="I33" s="189" t="s">
        <v>37</v>
      </c>
    </row>
    <row r="34" spans="1:9">
      <c r="A34" s="189">
        <v>0.6</v>
      </c>
      <c r="B34" s="202">
        <f t="shared" ref="B34:G54" si="4">IF($A34&lt;B$28,MAX(0,MIN($G$17,0.5+$G$18*($A34-B$26)/B$26)),MAX(0,MIN($G$17,0.5-$G$18*($A34-B$27)/B$27)))</f>
        <v>0</v>
      </c>
      <c r="C34" s="202">
        <f t="shared" si="4"/>
        <v>0</v>
      </c>
      <c r="D34" s="202">
        <f t="shared" si="4"/>
        <v>0</v>
      </c>
      <c r="E34" s="202">
        <f t="shared" si="4"/>
        <v>0</v>
      </c>
      <c r="F34" s="202">
        <f t="shared" si="4"/>
        <v>0</v>
      </c>
      <c r="G34" s="202">
        <f>IF($A34&lt;G$28,MAX(0,MIN($G$17,0.5+$G$18*($A34-G$26)/G$26)),MAX(0,MIN($G$17,0.5-$G$18*($A34-G$27)/G$27)))</f>
        <v>0</v>
      </c>
    </row>
    <row r="35" spans="1:9">
      <c r="A35" s="189">
        <f>A34+$G$19</f>
        <v>0.61</v>
      </c>
      <c r="B35" s="202">
        <f t="shared" si="4"/>
        <v>0</v>
      </c>
      <c r="C35" s="202">
        <f t="shared" si="4"/>
        <v>0</v>
      </c>
      <c r="D35" s="202">
        <f t="shared" si="4"/>
        <v>0</v>
      </c>
      <c r="E35" s="202">
        <f t="shared" si="4"/>
        <v>0</v>
      </c>
      <c r="F35" s="202">
        <f t="shared" si="4"/>
        <v>0</v>
      </c>
      <c r="G35" s="202">
        <f t="shared" si="4"/>
        <v>0</v>
      </c>
    </row>
    <row r="36" spans="1:9">
      <c r="A36" s="189">
        <f t="shared" ref="A36:A99" si="5">A35+$G$19</f>
        <v>0.62</v>
      </c>
      <c r="B36" s="202">
        <f t="shared" si="4"/>
        <v>0</v>
      </c>
      <c r="C36" s="202">
        <f t="shared" si="4"/>
        <v>0</v>
      </c>
      <c r="D36" s="202">
        <f t="shared" si="4"/>
        <v>0</v>
      </c>
      <c r="E36" s="202">
        <f t="shared" si="4"/>
        <v>0</v>
      </c>
      <c r="F36" s="202">
        <f t="shared" si="4"/>
        <v>0</v>
      </c>
      <c r="G36" s="202">
        <f t="shared" si="4"/>
        <v>0</v>
      </c>
    </row>
    <row r="37" spans="1:9">
      <c r="A37" s="189">
        <f t="shared" si="5"/>
        <v>0.63</v>
      </c>
      <c r="B37" s="202">
        <f t="shared" si="4"/>
        <v>0</v>
      </c>
      <c r="C37" s="202">
        <f t="shared" si="4"/>
        <v>0</v>
      </c>
      <c r="D37" s="202">
        <f t="shared" si="4"/>
        <v>0</v>
      </c>
      <c r="E37" s="202">
        <f t="shared" si="4"/>
        <v>0</v>
      </c>
      <c r="F37" s="202">
        <f t="shared" si="4"/>
        <v>0</v>
      </c>
      <c r="G37" s="202">
        <f t="shared" si="4"/>
        <v>0</v>
      </c>
    </row>
    <row r="38" spans="1:9">
      <c r="A38" s="189">
        <f t="shared" si="5"/>
        <v>0.64</v>
      </c>
      <c r="B38" s="202">
        <f t="shared" si="4"/>
        <v>0</v>
      </c>
      <c r="C38" s="202">
        <f t="shared" si="4"/>
        <v>0</v>
      </c>
      <c r="D38" s="202">
        <f t="shared" si="4"/>
        <v>0</v>
      </c>
      <c r="E38" s="202">
        <f t="shared" si="4"/>
        <v>0</v>
      </c>
      <c r="F38" s="202">
        <f t="shared" si="4"/>
        <v>0</v>
      </c>
      <c r="G38" s="202">
        <f t="shared" si="4"/>
        <v>0</v>
      </c>
    </row>
    <row r="39" spans="1:9">
      <c r="A39" s="189">
        <f t="shared" si="5"/>
        <v>0.65</v>
      </c>
      <c r="B39" s="202">
        <f t="shared" si="4"/>
        <v>0</v>
      </c>
      <c r="C39" s="202">
        <f t="shared" si="4"/>
        <v>0</v>
      </c>
      <c r="D39" s="202">
        <f t="shared" si="4"/>
        <v>0</v>
      </c>
      <c r="E39" s="202">
        <f t="shared" si="4"/>
        <v>0</v>
      </c>
      <c r="F39" s="202">
        <f t="shared" si="4"/>
        <v>0</v>
      </c>
      <c r="G39" s="202">
        <f t="shared" si="4"/>
        <v>0</v>
      </c>
    </row>
    <row r="40" spans="1:9">
      <c r="A40" s="189">
        <f t="shared" si="5"/>
        <v>0.66</v>
      </c>
      <c r="B40" s="202">
        <f t="shared" si="4"/>
        <v>0</v>
      </c>
      <c r="C40" s="202">
        <f t="shared" si="4"/>
        <v>0</v>
      </c>
      <c r="D40" s="202">
        <f t="shared" si="4"/>
        <v>0</v>
      </c>
      <c r="E40" s="202">
        <f t="shared" si="4"/>
        <v>0</v>
      </c>
      <c r="F40" s="202">
        <f t="shared" si="4"/>
        <v>0</v>
      </c>
      <c r="G40" s="202">
        <f t="shared" si="4"/>
        <v>0</v>
      </c>
    </row>
    <row r="41" spans="1:9">
      <c r="A41" s="189">
        <f t="shared" si="5"/>
        <v>0.67</v>
      </c>
      <c r="B41" s="202">
        <f t="shared" si="4"/>
        <v>0</v>
      </c>
      <c r="C41" s="202">
        <f t="shared" si="4"/>
        <v>0</v>
      </c>
      <c r="D41" s="202">
        <f t="shared" si="4"/>
        <v>0</v>
      </c>
      <c r="E41" s="202">
        <f t="shared" si="4"/>
        <v>0</v>
      </c>
      <c r="F41" s="202">
        <f t="shared" si="4"/>
        <v>0</v>
      </c>
      <c r="G41" s="202">
        <f t="shared" si="4"/>
        <v>0</v>
      </c>
    </row>
    <row r="42" spans="1:9">
      <c r="A42" s="189">
        <f t="shared" si="5"/>
        <v>0.68</v>
      </c>
      <c r="B42" s="202">
        <f t="shared" si="4"/>
        <v>0</v>
      </c>
      <c r="C42" s="202">
        <f t="shared" si="4"/>
        <v>0</v>
      </c>
      <c r="D42" s="202">
        <f t="shared" si="4"/>
        <v>0</v>
      </c>
      <c r="E42" s="202">
        <f t="shared" si="4"/>
        <v>0</v>
      </c>
      <c r="F42" s="202">
        <f t="shared" si="4"/>
        <v>0</v>
      </c>
      <c r="G42" s="202">
        <f t="shared" si="4"/>
        <v>0</v>
      </c>
    </row>
    <row r="43" spans="1:9">
      <c r="A43" s="189">
        <f t="shared" si="5"/>
        <v>0.69000000000000006</v>
      </c>
      <c r="B43" s="202">
        <f t="shared" si="4"/>
        <v>0</v>
      </c>
      <c r="C43" s="202">
        <f t="shared" si="4"/>
        <v>0</v>
      </c>
      <c r="D43" s="202">
        <f t="shared" si="4"/>
        <v>0</v>
      </c>
      <c r="E43" s="202">
        <f t="shared" si="4"/>
        <v>0</v>
      </c>
      <c r="F43" s="202">
        <f t="shared" si="4"/>
        <v>0</v>
      </c>
      <c r="G43" s="202">
        <f t="shared" si="4"/>
        <v>0</v>
      </c>
    </row>
    <row r="44" spans="1:9">
      <c r="A44" s="189">
        <f t="shared" si="5"/>
        <v>0.70000000000000007</v>
      </c>
      <c r="B44" s="202">
        <f t="shared" si="4"/>
        <v>0</v>
      </c>
      <c r="C44" s="202">
        <f t="shared" si="4"/>
        <v>0</v>
      </c>
      <c r="D44" s="202">
        <f t="shared" si="4"/>
        <v>0</v>
      </c>
      <c r="E44" s="202">
        <f t="shared" si="4"/>
        <v>0</v>
      </c>
      <c r="F44" s="202">
        <f t="shared" si="4"/>
        <v>0</v>
      </c>
      <c r="G44" s="202">
        <f t="shared" si="4"/>
        <v>0</v>
      </c>
    </row>
    <row r="45" spans="1:9">
      <c r="A45" s="189">
        <f t="shared" si="5"/>
        <v>0.71000000000000008</v>
      </c>
      <c r="B45" s="202">
        <f t="shared" si="4"/>
        <v>0</v>
      </c>
      <c r="C45" s="202">
        <f t="shared" si="4"/>
        <v>0</v>
      </c>
      <c r="D45" s="202">
        <f t="shared" si="4"/>
        <v>0</v>
      </c>
      <c r="E45" s="202">
        <f t="shared" si="4"/>
        <v>0</v>
      </c>
      <c r="F45" s="202">
        <f t="shared" si="4"/>
        <v>0</v>
      </c>
      <c r="G45" s="202">
        <f t="shared" si="4"/>
        <v>0</v>
      </c>
    </row>
    <row r="46" spans="1:9">
      <c r="A46" s="189">
        <f t="shared" si="5"/>
        <v>0.72000000000000008</v>
      </c>
      <c r="B46" s="202">
        <f t="shared" si="4"/>
        <v>0</v>
      </c>
      <c r="C46" s="202">
        <f t="shared" si="4"/>
        <v>0</v>
      </c>
      <c r="D46" s="202">
        <f t="shared" si="4"/>
        <v>0</v>
      </c>
      <c r="E46" s="202">
        <f t="shared" si="4"/>
        <v>0</v>
      </c>
      <c r="F46" s="202">
        <f t="shared" si="4"/>
        <v>0</v>
      </c>
      <c r="G46" s="202">
        <f t="shared" si="4"/>
        <v>0</v>
      </c>
    </row>
    <row r="47" spans="1:9">
      <c r="A47" s="189">
        <f t="shared" si="5"/>
        <v>0.73000000000000009</v>
      </c>
      <c r="B47" s="202">
        <f t="shared" si="4"/>
        <v>0</v>
      </c>
      <c r="C47" s="202">
        <f t="shared" si="4"/>
        <v>0</v>
      </c>
      <c r="D47" s="202">
        <f t="shared" si="4"/>
        <v>0</v>
      </c>
      <c r="E47" s="202">
        <f t="shared" si="4"/>
        <v>0</v>
      </c>
      <c r="F47" s="202">
        <f t="shared" si="4"/>
        <v>0</v>
      </c>
      <c r="G47" s="202">
        <f t="shared" si="4"/>
        <v>0</v>
      </c>
    </row>
    <row r="48" spans="1:9">
      <c r="A48" s="189">
        <f t="shared" si="5"/>
        <v>0.7400000000000001</v>
      </c>
      <c r="B48" s="202">
        <f t="shared" si="4"/>
        <v>0</v>
      </c>
      <c r="C48" s="202">
        <f t="shared" si="4"/>
        <v>0</v>
      </c>
      <c r="D48" s="202">
        <f t="shared" si="4"/>
        <v>0</v>
      </c>
      <c r="E48" s="202">
        <f t="shared" si="4"/>
        <v>0</v>
      </c>
      <c r="F48" s="202">
        <f t="shared" si="4"/>
        <v>0</v>
      </c>
      <c r="G48" s="202">
        <f t="shared" si="4"/>
        <v>0</v>
      </c>
    </row>
    <row r="49" spans="1:7">
      <c r="A49" s="189">
        <f t="shared" si="5"/>
        <v>0.75000000000000011</v>
      </c>
      <c r="B49" s="202">
        <f t="shared" si="4"/>
        <v>0</v>
      </c>
      <c r="C49" s="202">
        <f t="shared" si="4"/>
        <v>0</v>
      </c>
      <c r="D49" s="202">
        <f t="shared" si="4"/>
        <v>0</v>
      </c>
      <c r="E49" s="202">
        <f t="shared" si="4"/>
        <v>0</v>
      </c>
      <c r="F49" s="202">
        <f t="shared" si="4"/>
        <v>0</v>
      </c>
      <c r="G49" s="202">
        <f t="shared" si="4"/>
        <v>0.20833333333333637</v>
      </c>
    </row>
    <row r="50" spans="1:7">
      <c r="A50" s="189">
        <f t="shared" si="5"/>
        <v>0.76000000000000012</v>
      </c>
      <c r="B50" s="202">
        <f t="shared" si="4"/>
        <v>0</v>
      </c>
      <c r="C50" s="202">
        <f t="shared" si="4"/>
        <v>0</v>
      </c>
      <c r="D50" s="202">
        <f t="shared" si="4"/>
        <v>0</v>
      </c>
      <c r="E50" s="202">
        <f t="shared" si="4"/>
        <v>0</v>
      </c>
      <c r="F50" s="202">
        <f t="shared" si="4"/>
        <v>0</v>
      </c>
      <c r="G50" s="202">
        <f t="shared" si="4"/>
        <v>0.50000000000000322</v>
      </c>
    </row>
    <row r="51" spans="1:7">
      <c r="A51" s="189">
        <f t="shared" si="5"/>
        <v>0.77000000000000013</v>
      </c>
      <c r="B51" s="202">
        <f t="shared" si="4"/>
        <v>0</v>
      </c>
      <c r="C51" s="202">
        <f t="shared" si="4"/>
        <v>0</v>
      </c>
      <c r="D51" s="202">
        <f t="shared" si="4"/>
        <v>0</v>
      </c>
      <c r="E51" s="202">
        <f t="shared" si="4"/>
        <v>0</v>
      </c>
      <c r="F51" s="202">
        <f t="shared" si="4"/>
        <v>0</v>
      </c>
      <c r="G51" s="202">
        <f t="shared" si="4"/>
        <v>0.79166666666667007</v>
      </c>
    </row>
    <row r="52" spans="1:7">
      <c r="A52" s="189">
        <f t="shared" si="5"/>
        <v>0.78000000000000014</v>
      </c>
      <c r="B52" s="202">
        <f t="shared" si="4"/>
        <v>0</v>
      </c>
      <c r="C52" s="202">
        <f t="shared" si="4"/>
        <v>0</v>
      </c>
      <c r="D52" s="202">
        <f t="shared" si="4"/>
        <v>0</v>
      </c>
      <c r="E52" s="202">
        <f t="shared" si="4"/>
        <v>0</v>
      </c>
      <c r="F52" s="202">
        <f t="shared" si="4"/>
        <v>0</v>
      </c>
      <c r="G52" s="202">
        <f t="shared" si="4"/>
        <v>0.95</v>
      </c>
    </row>
    <row r="53" spans="1:7">
      <c r="A53" s="189">
        <f t="shared" si="5"/>
        <v>0.79000000000000015</v>
      </c>
      <c r="B53" s="202">
        <f t="shared" si="4"/>
        <v>0</v>
      </c>
      <c r="C53" s="202">
        <f t="shared" si="4"/>
        <v>0</v>
      </c>
      <c r="D53" s="202">
        <f t="shared" si="4"/>
        <v>0</v>
      </c>
      <c r="E53" s="202">
        <f t="shared" si="4"/>
        <v>0</v>
      </c>
      <c r="F53" s="202">
        <f t="shared" si="4"/>
        <v>0</v>
      </c>
      <c r="G53" s="202">
        <f t="shared" si="4"/>
        <v>0.95</v>
      </c>
    </row>
    <row r="54" spans="1:7">
      <c r="A54" s="189">
        <f t="shared" si="5"/>
        <v>0.80000000000000016</v>
      </c>
      <c r="B54" s="202">
        <f t="shared" si="4"/>
        <v>0</v>
      </c>
      <c r="C54" s="202">
        <f>IF($A54&lt;C$28,MAX(0,MIN($G$17,0.5+$G$18*($A54-C$26)/C$26)),MAX(0,MIN($G$17,0.5-$G$18*($A54-C$27)/C$27)))</f>
        <v>0</v>
      </c>
      <c r="D54" s="202">
        <f>IF($A54&lt;D$28,MAX(0,MIN($G$17,0.5+$G$18*($A54-D$26)/D$26)),MAX(0,MIN($G$17,0.5-$G$18*($A54-D$27)/D$27)))</f>
        <v>0</v>
      </c>
      <c r="E54" s="202">
        <f>IF($A54&lt;E$28,MAX(0,MIN($G$17,0.5+$G$18*($A54-E$26)/E$26)),MAX(0,MIN($G$17,0.5-$G$18*($A54-E$27)/E$27)))</f>
        <v>0</v>
      </c>
      <c r="F54" s="202">
        <f t="shared" si="4"/>
        <v>0</v>
      </c>
      <c r="G54" s="202">
        <f t="shared" si="4"/>
        <v>0.95</v>
      </c>
    </row>
    <row r="55" spans="1:7">
      <c r="A55" s="189">
        <f t="shared" si="5"/>
        <v>0.81000000000000016</v>
      </c>
      <c r="B55" s="202">
        <f t="shared" ref="B55:G70" si="6">IF($A55&lt;B$28,MAX(0,MIN($G$17,0.5+$G$18*($A55-B$26)/B$26)),MAX(0,MIN($G$17,0.5-$G$18*($A55-B$27)/B$27)))</f>
        <v>0</v>
      </c>
      <c r="C55" s="202">
        <f t="shared" si="6"/>
        <v>0</v>
      </c>
      <c r="D55" s="202">
        <f t="shared" si="6"/>
        <v>0</v>
      </c>
      <c r="E55" s="202">
        <f t="shared" si="6"/>
        <v>0</v>
      </c>
      <c r="F55" s="202">
        <f t="shared" si="6"/>
        <v>0</v>
      </c>
      <c r="G55" s="202">
        <f t="shared" si="6"/>
        <v>0.95</v>
      </c>
    </row>
    <row r="56" spans="1:7">
      <c r="A56" s="189">
        <f t="shared" si="5"/>
        <v>0.82000000000000017</v>
      </c>
      <c r="B56" s="202">
        <f t="shared" si="6"/>
        <v>0</v>
      </c>
      <c r="C56" s="202">
        <f t="shared" si="6"/>
        <v>0</v>
      </c>
      <c r="D56" s="202">
        <f t="shared" si="6"/>
        <v>0</v>
      </c>
      <c r="E56" s="202">
        <f t="shared" si="6"/>
        <v>0</v>
      </c>
      <c r="F56" s="202">
        <f t="shared" si="6"/>
        <v>0</v>
      </c>
      <c r="G56" s="202">
        <f t="shared" si="6"/>
        <v>0.95</v>
      </c>
    </row>
    <row r="57" spans="1:7">
      <c r="A57" s="189">
        <f t="shared" si="5"/>
        <v>0.83000000000000018</v>
      </c>
      <c r="B57" s="202">
        <f t="shared" si="6"/>
        <v>0</v>
      </c>
      <c r="C57" s="202">
        <f t="shared" si="6"/>
        <v>0</v>
      </c>
      <c r="D57" s="202">
        <f t="shared" si="6"/>
        <v>0</v>
      </c>
      <c r="E57" s="202">
        <f t="shared" si="6"/>
        <v>0</v>
      </c>
      <c r="F57" s="202">
        <f t="shared" si="6"/>
        <v>0</v>
      </c>
      <c r="G57" s="202">
        <f t="shared" si="6"/>
        <v>0.95</v>
      </c>
    </row>
    <row r="58" spans="1:7">
      <c r="A58" s="189">
        <f t="shared" si="5"/>
        <v>0.84000000000000019</v>
      </c>
      <c r="B58" s="202">
        <f t="shared" si="6"/>
        <v>0</v>
      </c>
      <c r="C58" s="202">
        <f t="shared" si="6"/>
        <v>0</v>
      </c>
      <c r="D58" s="202">
        <f t="shared" si="6"/>
        <v>0</v>
      </c>
      <c r="E58" s="202">
        <f t="shared" si="6"/>
        <v>0</v>
      </c>
      <c r="F58" s="202">
        <f t="shared" si="6"/>
        <v>0</v>
      </c>
      <c r="G58" s="202">
        <f t="shared" si="6"/>
        <v>0.95</v>
      </c>
    </row>
    <row r="59" spans="1:7">
      <c r="A59" s="189">
        <f t="shared" si="5"/>
        <v>0.8500000000000002</v>
      </c>
      <c r="B59" s="202">
        <f t="shared" si="6"/>
        <v>0</v>
      </c>
      <c r="C59" s="202">
        <f t="shared" si="6"/>
        <v>0</v>
      </c>
      <c r="D59" s="202">
        <f t="shared" si="6"/>
        <v>0</v>
      </c>
      <c r="E59" s="202">
        <f t="shared" si="6"/>
        <v>0</v>
      </c>
      <c r="F59" s="202">
        <f t="shared" si="6"/>
        <v>0</v>
      </c>
      <c r="G59" s="202">
        <f t="shared" si="6"/>
        <v>0.95</v>
      </c>
    </row>
    <row r="60" spans="1:7">
      <c r="A60" s="189">
        <f t="shared" si="5"/>
        <v>0.86000000000000021</v>
      </c>
      <c r="B60" s="202">
        <f t="shared" si="6"/>
        <v>0</v>
      </c>
      <c r="C60" s="202">
        <f t="shared" si="6"/>
        <v>0</v>
      </c>
      <c r="D60" s="202">
        <f t="shared" si="6"/>
        <v>0</v>
      </c>
      <c r="E60" s="202">
        <f t="shared" si="6"/>
        <v>0</v>
      </c>
      <c r="F60" s="202">
        <f t="shared" si="6"/>
        <v>0</v>
      </c>
      <c r="G60" s="202">
        <f t="shared" si="6"/>
        <v>0.95</v>
      </c>
    </row>
    <row r="61" spans="1:7">
      <c r="A61" s="189">
        <f t="shared" si="5"/>
        <v>0.87000000000000022</v>
      </c>
      <c r="B61" s="202">
        <f t="shared" si="6"/>
        <v>0</v>
      </c>
      <c r="C61" s="202">
        <f t="shared" si="6"/>
        <v>0</v>
      </c>
      <c r="D61" s="202">
        <f t="shared" si="6"/>
        <v>0</v>
      </c>
      <c r="E61" s="202">
        <f t="shared" si="6"/>
        <v>0</v>
      </c>
      <c r="F61" s="202">
        <f t="shared" si="6"/>
        <v>0</v>
      </c>
      <c r="G61" s="202">
        <f t="shared" si="6"/>
        <v>0.95</v>
      </c>
    </row>
    <row r="62" spans="1:7">
      <c r="A62" s="189">
        <f t="shared" si="5"/>
        <v>0.88000000000000023</v>
      </c>
      <c r="B62" s="202">
        <f t="shared" si="6"/>
        <v>0</v>
      </c>
      <c r="C62" s="202">
        <f t="shared" si="6"/>
        <v>0</v>
      </c>
      <c r="D62" s="202">
        <f t="shared" si="6"/>
        <v>0</v>
      </c>
      <c r="E62" s="202">
        <f t="shared" si="6"/>
        <v>0</v>
      </c>
      <c r="F62" s="202">
        <f t="shared" si="6"/>
        <v>0</v>
      </c>
      <c r="G62" s="202">
        <f t="shared" si="6"/>
        <v>0.95</v>
      </c>
    </row>
    <row r="63" spans="1:7">
      <c r="A63" s="189">
        <f t="shared" si="5"/>
        <v>0.89000000000000024</v>
      </c>
      <c r="B63" s="202">
        <f t="shared" si="6"/>
        <v>0</v>
      </c>
      <c r="C63" s="202">
        <f t="shared" si="6"/>
        <v>0</v>
      </c>
      <c r="D63" s="202">
        <f t="shared" si="6"/>
        <v>0</v>
      </c>
      <c r="E63" s="202">
        <f t="shared" si="6"/>
        <v>0</v>
      </c>
      <c r="F63" s="202">
        <f t="shared" si="6"/>
        <v>0</v>
      </c>
      <c r="G63" s="202">
        <f t="shared" si="6"/>
        <v>0.95</v>
      </c>
    </row>
    <row r="64" spans="1:7">
      <c r="A64" s="189">
        <f t="shared" si="5"/>
        <v>0.90000000000000024</v>
      </c>
      <c r="B64" s="202">
        <f t="shared" si="6"/>
        <v>0</v>
      </c>
      <c r="C64" s="202">
        <f t="shared" si="6"/>
        <v>0</v>
      </c>
      <c r="D64" s="202">
        <f t="shared" si="6"/>
        <v>0</v>
      </c>
      <c r="E64" s="202">
        <f t="shared" si="6"/>
        <v>0</v>
      </c>
      <c r="F64" s="202">
        <f t="shared" si="6"/>
        <v>0</v>
      </c>
      <c r="G64" s="202">
        <f t="shared" si="6"/>
        <v>0.95</v>
      </c>
    </row>
    <row r="65" spans="1:7">
      <c r="A65" s="189">
        <f t="shared" si="5"/>
        <v>0.91000000000000025</v>
      </c>
      <c r="B65" s="202">
        <f t="shared" si="6"/>
        <v>0</v>
      </c>
      <c r="C65" s="202">
        <f t="shared" si="6"/>
        <v>0</v>
      </c>
      <c r="D65" s="202">
        <f t="shared" si="6"/>
        <v>0</v>
      </c>
      <c r="E65" s="202">
        <f t="shared" si="6"/>
        <v>9.0138674884443326E-2</v>
      </c>
      <c r="F65" s="202">
        <f t="shared" si="6"/>
        <v>9.0138674884443326E-2</v>
      </c>
      <c r="G65" s="202">
        <f t="shared" si="6"/>
        <v>0.95</v>
      </c>
    </row>
    <row r="66" spans="1:7">
      <c r="A66" s="189">
        <f t="shared" si="5"/>
        <v>0.92000000000000026</v>
      </c>
      <c r="B66" s="202">
        <f t="shared" si="6"/>
        <v>0</v>
      </c>
      <c r="C66" s="202">
        <f t="shared" si="6"/>
        <v>0</v>
      </c>
      <c r="D66" s="202">
        <f t="shared" si="6"/>
        <v>0</v>
      </c>
      <c r="E66" s="202">
        <f t="shared" si="6"/>
        <v>0.32922444786852156</v>
      </c>
      <c r="F66" s="202">
        <f t="shared" si="6"/>
        <v>0.32922444786852156</v>
      </c>
      <c r="G66" s="202">
        <f t="shared" si="6"/>
        <v>0.95</v>
      </c>
    </row>
    <row r="67" spans="1:7">
      <c r="A67" s="189">
        <f t="shared" si="5"/>
        <v>0.93000000000000027</v>
      </c>
      <c r="B67" s="202">
        <f t="shared" si="6"/>
        <v>0</v>
      </c>
      <c r="C67" s="202">
        <f t="shared" si="6"/>
        <v>0</v>
      </c>
      <c r="D67" s="202">
        <f t="shared" si="6"/>
        <v>0</v>
      </c>
      <c r="E67" s="202">
        <f t="shared" si="6"/>
        <v>0.56831022085259986</v>
      </c>
      <c r="F67" s="202">
        <f t="shared" si="6"/>
        <v>0.56831022085259986</v>
      </c>
      <c r="G67" s="202">
        <f t="shared" si="6"/>
        <v>0.95</v>
      </c>
    </row>
    <row r="68" spans="1:7">
      <c r="A68" s="189">
        <f t="shared" si="5"/>
        <v>0.94000000000000028</v>
      </c>
      <c r="B68" s="202">
        <f t="shared" si="6"/>
        <v>0</v>
      </c>
      <c r="C68" s="202">
        <f t="shared" si="6"/>
        <v>0</v>
      </c>
      <c r="D68" s="202">
        <f t="shared" si="6"/>
        <v>0</v>
      </c>
      <c r="E68" s="202">
        <f t="shared" si="6"/>
        <v>0.80739599383667815</v>
      </c>
      <c r="F68" s="202">
        <f t="shared" si="6"/>
        <v>0.80739599383667815</v>
      </c>
      <c r="G68" s="202">
        <f t="shared" si="6"/>
        <v>0.95</v>
      </c>
    </row>
    <row r="69" spans="1:7">
      <c r="A69" s="189">
        <f t="shared" si="5"/>
        <v>0.95000000000000029</v>
      </c>
      <c r="B69" s="202">
        <f t="shared" si="6"/>
        <v>0</v>
      </c>
      <c r="C69" s="202">
        <f t="shared" si="6"/>
        <v>0</v>
      </c>
      <c r="D69" s="202">
        <f t="shared" si="6"/>
        <v>0</v>
      </c>
      <c r="E69" s="202">
        <f t="shared" si="6"/>
        <v>0.95</v>
      </c>
      <c r="F69" s="202">
        <f t="shared" si="6"/>
        <v>0.95</v>
      </c>
      <c r="G69" s="202">
        <f t="shared" si="6"/>
        <v>0.95</v>
      </c>
    </row>
    <row r="70" spans="1:7">
      <c r="A70" s="189">
        <f t="shared" si="5"/>
        <v>0.9600000000000003</v>
      </c>
      <c r="B70" s="202">
        <f t="shared" si="6"/>
        <v>0</v>
      </c>
      <c r="C70" s="202">
        <f t="shared" si="6"/>
        <v>0</v>
      </c>
      <c r="D70" s="202">
        <f t="shared" si="6"/>
        <v>0</v>
      </c>
      <c r="E70" s="202">
        <f t="shared" si="6"/>
        <v>0.95</v>
      </c>
      <c r="F70" s="202">
        <f t="shared" si="6"/>
        <v>0.95</v>
      </c>
      <c r="G70" s="202">
        <f t="shared" si="6"/>
        <v>0.8888888888888834</v>
      </c>
    </row>
    <row r="71" spans="1:7">
      <c r="A71" s="189">
        <f t="shared" si="5"/>
        <v>0.97000000000000031</v>
      </c>
      <c r="B71" s="202">
        <f t="shared" ref="B71:G86" si="7">IF($A71&lt;B$28,MAX(0,MIN($G$17,0.5+$G$18*($A71-B$26)/B$26)),MAX(0,MIN($G$17,0.5-$G$18*($A71-B$27)/B$27)))</f>
        <v>0</v>
      </c>
      <c r="C71" s="202">
        <f t="shared" si="7"/>
        <v>0</v>
      </c>
      <c r="D71" s="202">
        <f t="shared" si="7"/>
        <v>0</v>
      </c>
      <c r="E71" s="202">
        <f t="shared" si="7"/>
        <v>0.95</v>
      </c>
      <c r="F71" s="202">
        <f t="shared" si="7"/>
        <v>0.95</v>
      </c>
      <c r="G71" s="202">
        <f t="shared" si="7"/>
        <v>0.66203703703703143</v>
      </c>
    </row>
    <row r="72" spans="1:7">
      <c r="A72" s="189">
        <f t="shared" si="5"/>
        <v>0.98000000000000032</v>
      </c>
      <c r="B72" s="202">
        <f t="shared" si="7"/>
        <v>0</v>
      </c>
      <c r="C72" s="202">
        <f t="shared" si="7"/>
        <v>0</v>
      </c>
      <c r="D72" s="202">
        <f t="shared" si="7"/>
        <v>0</v>
      </c>
      <c r="E72" s="202">
        <f t="shared" si="7"/>
        <v>0.95</v>
      </c>
      <c r="F72" s="202">
        <f t="shared" si="7"/>
        <v>0.95</v>
      </c>
      <c r="G72" s="202">
        <f t="shared" si="7"/>
        <v>0.43518518518517935</v>
      </c>
    </row>
    <row r="73" spans="1:7">
      <c r="A73" s="189">
        <f t="shared" si="5"/>
        <v>0.99000000000000032</v>
      </c>
      <c r="B73" s="202">
        <f t="shared" si="7"/>
        <v>0</v>
      </c>
      <c r="C73" s="202">
        <f t="shared" si="7"/>
        <v>0</v>
      </c>
      <c r="D73" s="202">
        <f t="shared" si="7"/>
        <v>0</v>
      </c>
      <c r="E73" s="202">
        <f t="shared" si="7"/>
        <v>0.95</v>
      </c>
      <c r="F73" s="202">
        <f t="shared" si="7"/>
        <v>0.95</v>
      </c>
      <c r="G73" s="202">
        <f t="shared" si="7"/>
        <v>0.20833333333332738</v>
      </c>
    </row>
    <row r="74" spans="1:7">
      <c r="A74" s="189">
        <f t="shared" si="5"/>
        <v>1.0000000000000002</v>
      </c>
      <c r="B74" s="202">
        <f t="shared" si="7"/>
        <v>0</v>
      </c>
      <c r="C74" s="202">
        <f t="shared" si="7"/>
        <v>0</v>
      </c>
      <c r="D74" s="202">
        <f t="shared" si="7"/>
        <v>0</v>
      </c>
      <c r="E74" s="202">
        <f t="shared" si="7"/>
        <v>0.95</v>
      </c>
      <c r="F74" s="202">
        <f t="shared" si="7"/>
        <v>0.95</v>
      </c>
      <c r="G74" s="202">
        <f t="shared" si="7"/>
        <v>0</v>
      </c>
    </row>
    <row r="75" spans="1:7">
      <c r="A75" s="189">
        <f t="shared" si="5"/>
        <v>1.0100000000000002</v>
      </c>
      <c r="B75" s="202">
        <f t="shared" si="7"/>
        <v>0</v>
      </c>
      <c r="C75" s="202">
        <f t="shared" si="7"/>
        <v>0</v>
      </c>
      <c r="D75" s="202">
        <f t="shared" si="7"/>
        <v>0</v>
      </c>
      <c r="E75" s="202">
        <f t="shared" si="7"/>
        <v>0.95</v>
      </c>
      <c r="F75" s="202">
        <f t="shared" si="7"/>
        <v>0.95</v>
      </c>
      <c r="G75" s="202">
        <f t="shared" si="7"/>
        <v>0</v>
      </c>
    </row>
    <row r="76" spans="1:7">
      <c r="A76" s="189">
        <f t="shared" si="5"/>
        <v>1.0200000000000002</v>
      </c>
      <c r="B76" s="202">
        <f t="shared" si="7"/>
        <v>0</v>
      </c>
      <c r="C76" s="202">
        <f t="shared" si="7"/>
        <v>0</v>
      </c>
      <c r="D76" s="202">
        <f t="shared" si="7"/>
        <v>0</v>
      </c>
      <c r="E76" s="202">
        <f t="shared" si="7"/>
        <v>0.95</v>
      </c>
      <c r="F76" s="202">
        <f t="shared" si="7"/>
        <v>0.95</v>
      </c>
      <c r="G76" s="202">
        <f t="shared" si="7"/>
        <v>0</v>
      </c>
    </row>
    <row r="77" spans="1:7">
      <c r="A77" s="189">
        <f t="shared" si="5"/>
        <v>1.0300000000000002</v>
      </c>
      <c r="B77" s="202">
        <f t="shared" si="7"/>
        <v>0</v>
      </c>
      <c r="C77" s="202">
        <f t="shared" si="7"/>
        <v>0</v>
      </c>
      <c r="D77" s="202">
        <f t="shared" si="7"/>
        <v>0</v>
      </c>
      <c r="E77" s="202">
        <f t="shared" si="7"/>
        <v>0.95</v>
      </c>
      <c r="F77" s="202">
        <f t="shared" si="7"/>
        <v>0.95</v>
      </c>
      <c r="G77" s="202">
        <f t="shared" si="7"/>
        <v>0</v>
      </c>
    </row>
    <row r="78" spans="1:7">
      <c r="A78" s="189">
        <f t="shared" si="5"/>
        <v>1.0400000000000003</v>
      </c>
      <c r="B78" s="202">
        <f t="shared" si="7"/>
        <v>0</v>
      </c>
      <c r="C78" s="202">
        <f t="shared" si="7"/>
        <v>0</v>
      </c>
      <c r="D78" s="202">
        <f t="shared" si="7"/>
        <v>0</v>
      </c>
      <c r="E78" s="202">
        <f t="shared" si="7"/>
        <v>0.95</v>
      </c>
      <c r="F78" s="202">
        <f t="shared" si="7"/>
        <v>0.95</v>
      </c>
      <c r="G78" s="202">
        <f t="shared" si="7"/>
        <v>0</v>
      </c>
    </row>
    <row r="79" spans="1:7">
      <c r="A79" s="189">
        <f t="shared" si="5"/>
        <v>1.0500000000000003</v>
      </c>
      <c r="B79" s="202">
        <f t="shared" si="7"/>
        <v>0</v>
      </c>
      <c r="C79" s="202">
        <f t="shared" si="7"/>
        <v>0</v>
      </c>
      <c r="D79" s="202">
        <f t="shared" si="7"/>
        <v>0</v>
      </c>
      <c r="E79" s="202">
        <f t="shared" si="7"/>
        <v>0.95</v>
      </c>
      <c r="F79" s="202">
        <f t="shared" si="7"/>
        <v>0.95</v>
      </c>
      <c r="G79" s="202">
        <f t="shared" si="7"/>
        <v>0</v>
      </c>
    </row>
    <row r="80" spans="1:7">
      <c r="A80" s="189">
        <f t="shared" si="5"/>
        <v>1.0600000000000003</v>
      </c>
      <c r="B80" s="202">
        <f t="shared" si="7"/>
        <v>0</v>
      </c>
      <c r="C80" s="202">
        <f t="shared" si="7"/>
        <v>0</v>
      </c>
      <c r="D80" s="202">
        <f t="shared" si="7"/>
        <v>0</v>
      </c>
      <c r="E80" s="202">
        <f t="shared" si="7"/>
        <v>0.95</v>
      </c>
      <c r="F80" s="202">
        <f t="shared" si="7"/>
        <v>0.95</v>
      </c>
      <c r="G80" s="202">
        <f t="shared" si="7"/>
        <v>0</v>
      </c>
    </row>
    <row r="81" spans="1:7">
      <c r="A81" s="189">
        <f t="shared" si="5"/>
        <v>1.0700000000000003</v>
      </c>
      <c r="B81" s="202">
        <f t="shared" si="7"/>
        <v>0</v>
      </c>
      <c r="C81" s="202">
        <f t="shared" si="7"/>
        <v>0</v>
      </c>
      <c r="D81" s="202">
        <f t="shared" si="7"/>
        <v>0</v>
      </c>
      <c r="E81" s="202">
        <f t="shared" si="7"/>
        <v>0.95</v>
      </c>
      <c r="F81" s="202">
        <f t="shared" si="7"/>
        <v>0.95</v>
      </c>
      <c r="G81" s="202">
        <f t="shared" si="7"/>
        <v>0</v>
      </c>
    </row>
    <row r="82" spans="1:7">
      <c r="A82" s="189">
        <f t="shared" si="5"/>
        <v>1.0800000000000003</v>
      </c>
      <c r="B82" s="202">
        <f t="shared" si="7"/>
        <v>0</v>
      </c>
      <c r="C82" s="202">
        <f t="shared" si="7"/>
        <v>0</v>
      </c>
      <c r="D82" s="202">
        <f t="shared" si="7"/>
        <v>0</v>
      </c>
      <c r="E82" s="202">
        <f t="shared" si="7"/>
        <v>0.95</v>
      </c>
      <c r="F82" s="202">
        <f t="shared" si="7"/>
        <v>0.95</v>
      </c>
      <c r="G82" s="202">
        <f t="shared" si="7"/>
        <v>0</v>
      </c>
    </row>
    <row r="83" spans="1:7">
      <c r="A83" s="189">
        <f t="shared" si="5"/>
        <v>1.0900000000000003</v>
      </c>
      <c r="B83" s="202">
        <f t="shared" si="7"/>
        <v>0</v>
      </c>
      <c r="C83" s="202">
        <f t="shared" si="7"/>
        <v>0</v>
      </c>
      <c r="D83" s="202">
        <f t="shared" si="7"/>
        <v>0</v>
      </c>
      <c r="E83" s="202">
        <f t="shared" si="7"/>
        <v>0.95</v>
      </c>
      <c r="F83" s="202">
        <f t="shared" si="7"/>
        <v>0.95</v>
      </c>
      <c r="G83" s="202">
        <f t="shared" si="7"/>
        <v>0</v>
      </c>
    </row>
    <row r="84" spans="1:7">
      <c r="A84" s="189">
        <f t="shared" si="5"/>
        <v>1.1000000000000003</v>
      </c>
      <c r="B84" s="202">
        <f t="shared" si="7"/>
        <v>0</v>
      </c>
      <c r="C84" s="202">
        <f t="shared" si="7"/>
        <v>0</v>
      </c>
      <c r="D84" s="202">
        <f t="shared" si="7"/>
        <v>0</v>
      </c>
      <c r="E84" s="202">
        <f t="shared" si="7"/>
        <v>0.95</v>
      </c>
      <c r="F84" s="202">
        <f t="shared" si="7"/>
        <v>0.95</v>
      </c>
      <c r="G84" s="202">
        <f t="shared" si="7"/>
        <v>0</v>
      </c>
    </row>
    <row r="85" spans="1:7">
      <c r="A85" s="189">
        <f t="shared" si="5"/>
        <v>1.1100000000000003</v>
      </c>
      <c r="B85" s="202">
        <f t="shared" si="7"/>
        <v>0</v>
      </c>
      <c r="C85" s="202">
        <f t="shared" si="7"/>
        <v>0</v>
      </c>
      <c r="D85" s="202">
        <f t="shared" si="7"/>
        <v>8.7559937733608484E-2</v>
      </c>
      <c r="E85" s="202">
        <f t="shared" si="7"/>
        <v>0.95</v>
      </c>
      <c r="F85" s="202">
        <f t="shared" si="7"/>
        <v>0.95</v>
      </c>
      <c r="G85" s="202">
        <f t="shared" si="7"/>
        <v>0</v>
      </c>
    </row>
    <row r="86" spans="1:7">
      <c r="A86" s="189">
        <f t="shared" si="5"/>
        <v>1.1200000000000003</v>
      </c>
      <c r="B86" s="202">
        <f t="shared" si="7"/>
        <v>0</v>
      </c>
      <c r="C86" s="202">
        <f t="shared" si="7"/>
        <v>0</v>
      </c>
      <c r="D86" s="202">
        <f t="shared" si="7"/>
        <v>0.28354396119667413</v>
      </c>
      <c r="E86" s="202">
        <f t="shared" si="7"/>
        <v>0.95</v>
      </c>
      <c r="F86" s="202">
        <f t="shared" si="7"/>
        <v>0.95</v>
      </c>
      <c r="G86" s="202">
        <f t="shared" si="7"/>
        <v>0</v>
      </c>
    </row>
    <row r="87" spans="1:7">
      <c r="A87" s="189">
        <f t="shared" si="5"/>
        <v>1.1300000000000003</v>
      </c>
      <c r="B87" s="202">
        <f t="shared" ref="B87:G102" si="8">IF($A87&lt;B$28,MAX(0,MIN($G$17,0.5+$G$18*($A87-B$26)/B$26)),MAX(0,MIN($G$17,0.5-$G$18*($A87-B$27)/B$27)))</f>
        <v>0</v>
      </c>
      <c r="C87" s="202">
        <f t="shared" si="8"/>
        <v>0</v>
      </c>
      <c r="D87" s="202">
        <f t="shared" si="8"/>
        <v>0.47952798465973973</v>
      </c>
      <c r="E87" s="202">
        <f t="shared" si="8"/>
        <v>0.95</v>
      </c>
      <c r="F87" s="202">
        <f t="shared" si="8"/>
        <v>0.95</v>
      </c>
      <c r="G87" s="202">
        <f t="shared" si="8"/>
        <v>0</v>
      </c>
    </row>
    <row r="88" spans="1:7">
      <c r="A88" s="189">
        <f t="shared" si="5"/>
        <v>1.1400000000000003</v>
      </c>
      <c r="B88" s="202">
        <f t="shared" si="8"/>
        <v>0</v>
      </c>
      <c r="C88" s="202">
        <f t="shared" si="8"/>
        <v>0</v>
      </c>
      <c r="D88" s="202">
        <f t="shared" si="8"/>
        <v>0.67551200812280543</v>
      </c>
      <c r="E88" s="202">
        <f t="shared" si="8"/>
        <v>0.95</v>
      </c>
      <c r="F88" s="202">
        <f t="shared" si="8"/>
        <v>0.95</v>
      </c>
      <c r="G88" s="202">
        <f t="shared" si="8"/>
        <v>0</v>
      </c>
    </row>
    <row r="89" spans="1:7">
      <c r="A89" s="189">
        <f t="shared" si="5"/>
        <v>1.1500000000000004</v>
      </c>
      <c r="B89" s="202">
        <f t="shared" si="8"/>
        <v>0</v>
      </c>
      <c r="C89" s="202">
        <f t="shared" si="8"/>
        <v>0</v>
      </c>
      <c r="D89" s="202">
        <f t="shared" si="8"/>
        <v>0.87149603158587108</v>
      </c>
      <c r="E89" s="202">
        <f t="shared" si="8"/>
        <v>0.95</v>
      </c>
      <c r="F89" s="202">
        <f t="shared" si="8"/>
        <v>0.95</v>
      </c>
      <c r="G89" s="202">
        <f t="shared" si="8"/>
        <v>0</v>
      </c>
    </row>
    <row r="90" spans="1:7">
      <c r="A90" s="189">
        <f t="shared" si="5"/>
        <v>1.1600000000000004</v>
      </c>
      <c r="B90" s="202">
        <f t="shared" si="8"/>
        <v>0</v>
      </c>
      <c r="C90" s="202">
        <f t="shared" si="8"/>
        <v>0</v>
      </c>
      <c r="D90" s="202">
        <f t="shared" si="8"/>
        <v>0.95</v>
      </c>
      <c r="E90" s="202">
        <f t="shared" si="8"/>
        <v>0.95</v>
      </c>
      <c r="F90" s="202">
        <f t="shared" si="8"/>
        <v>0.95</v>
      </c>
      <c r="G90" s="202">
        <f t="shared" si="8"/>
        <v>0</v>
      </c>
    </row>
    <row r="91" spans="1:7">
      <c r="A91" s="189">
        <f t="shared" si="5"/>
        <v>1.1700000000000004</v>
      </c>
      <c r="B91" s="202">
        <f t="shared" si="8"/>
        <v>0</v>
      </c>
      <c r="C91" s="202">
        <f t="shared" si="8"/>
        <v>0</v>
      </c>
      <c r="D91" s="202">
        <f t="shared" si="8"/>
        <v>0.95</v>
      </c>
      <c r="E91" s="202">
        <f t="shared" si="8"/>
        <v>0.95</v>
      </c>
      <c r="F91" s="202">
        <f t="shared" si="8"/>
        <v>0.90986132511555895</v>
      </c>
      <c r="G91" s="202">
        <f t="shared" si="8"/>
        <v>0</v>
      </c>
    </row>
    <row r="92" spans="1:7">
      <c r="A92" s="189">
        <f t="shared" si="5"/>
        <v>1.1800000000000004</v>
      </c>
      <c r="B92" s="202">
        <f t="shared" si="8"/>
        <v>0</v>
      </c>
      <c r="C92" s="202">
        <f t="shared" si="8"/>
        <v>0</v>
      </c>
      <c r="D92" s="202">
        <f t="shared" si="8"/>
        <v>0.95</v>
      </c>
      <c r="E92" s="202">
        <f t="shared" si="8"/>
        <v>0.95</v>
      </c>
      <c r="F92" s="202">
        <f t="shared" si="8"/>
        <v>0.72390572390572028</v>
      </c>
      <c r="G92" s="202">
        <f t="shared" si="8"/>
        <v>0</v>
      </c>
    </row>
    <row r="93" spans="1:7">
      <c r="A93" s="189">
        <f t="shared" si="5"/>
        <v>1.1900000000000004</v>
      </c>
      <c r="B93" s="202">
        <f t="shared" si="8"/>
        <v>0</v>
      </c>
      <c r="C93" s="202">
        <f t="shared" si="8"/>
        <v>0</v>
      </c>
      <c r="D93" s="202">
        <f t="shared" si="8"/>
        <v>0.95</v>
      </c>
      <c r="E93" s="202">
        <f t="shared" si="8"/>
        <v>0.95</v>
      </c>
      <c r="F93" s="202">
        <f t="shared" si="8"/>
        <v>0.53795012269588172</v>
      </c>
      <c r="G93" s="202">
        <f t="shared" si="8"/>
        <v>0</v>
      </c>
    </row>
    <row r="94" spans="1:7">
      <c r="A94" s="189">
        <f t="shared" si="5"/>
        <v>1.2000000000000004</v>
      </c>
      <c r="B94" s="202">
        <f t="shared" si="8"/>
        <v>0</v>
      </c>
      <c r="C94" s="202">
        <f t="shared" si="8"/>
        <v>0</v>
      </c>
      <c r="D94" s="202">
        <f t="shared" si="8"/>
        <v>0.95</v>
      </c>
      <c r="E94" s="202">
        <f t="shared" si="8"/>
        <v>0.95</v>
      </c>
      <c r="F94" s="202">
        <f t="shared" si="8"/>
        <v>0.3519945214860431</v>
      </c>
      <c r="G94" s="202">
        <f t="shared" si="8"/>
        <v>0</v>
      </c>
    </row>
    <row r="95" spans="1:7">
      <c r="A95" s="189">
        <f t="shared" si="5"/>
        <v>1.2100000000000004</v>
      </c>
      <c r="B95" s="202">
        <f t="shared" si="8"/>
        <v>0</v>
      </c>
      <c r="C95" s="202">
        <f t="shared" si="8"/>
        <v>0</v>
      </c>
      <c r="D95" s="202">
        <f t="shared" si="8"/>
        <v>0.95</v>
      </c>
      <c r="E95" s="202">
        <f t="shared" si="8"/>
        <v>0.95</v>
      </c>
      <c r="F95" s="202">
        <f t="shared" si="8"/>
        <v>0.16603892027620448</v>
      </c>
      <c r="G95" s="202">
        <f t="shared" si="8"/>
        <v>0</v>
      </c>
    </row>
    <row r="96" spans="1:7">
      <c r="A96" s="189">
        <f t="shared" si="5"/>
        <v>1.2200000000000004</v>
      </c>
      <c r="B96" s="202">
        <f t="shared" si="8"/>
        <v>0</v>
      </c>
      <c r="C96" s="202">
        <f t="shared" si="8"/>
        <v>0</v>
      </c>
      <c r="D96" s="202">
        <f t="shared" si="8"/>
        <v>0.95</v>
      </c>
      <c r="E96" s="202">
        <f t="shared" si="8"/>
        <v>0.95</v>
      </c>
      <c r="F96" s="202">
        <f t="shared" si="8"/>
        <v>0</v>
      </c>
      <c r="G96" s="202">
        <f t="shared" si="8"/>
        <v>0</v>
      </c>
    </row>
    <row r="97" spans="1:7">
      <c r="A97" s="189">
        <f t="shared" si="5"/>
        <v>1.2300000000000004</v>
      </c>
      <c r="B97" s="202">
        <f t="shared" si="8"/>
        <v>0</v>
      </c>
      <c r="C97" s="202">
        <f t="shared" si="8"/>
        <v>0</v>
      </c>
      <c r="D97" s="202">
        <f t="shared" si="8"/>
        <v>0.95</v>
      </c>
      <c r="E97" s="202">
        <f t="shared" si="8"/>
        <v>0.95</v>
      </c>
      <c r="F97" s="202">
        <f t="shared" si="8"/>
        <v>0</v>
      </c>
      <c r="G97" s="202">
        <f t="shared" si="8"/>
        <v>0</v>
      </c>
    </row>
    <row r="98" spans="1:7">
      <c r="A98" s="189">
        <f t="shared" si="5"/>
        <v>1.2400000000000004</v>
      </c>
      <c r="B98" s="202">
        <f t="shared" si="8"/>
        <v>0</v>
      </c>
      <c r="C98" s="202">
        <f t="shared" si="8"/>
        <v>0</v>
      </c>
      <c r="D98" s="202">
        <f t="shared" si="8"/>
        <v>0.95</v>
      </c>
      <c r="E98" s="202">
        <f t="shared" si="8"/>
        <v>0.95</v>
      </c>
      <c r="F98" s="202">
        <f t="shared" si="8"/>
        <v>0</v>
      </c>
      <c r="G98" s="202">
        <f t="shared" si="8"/>
        <v>0</v>
      </c>
    </row>
    <row r="99" spans="1:7">
      <c r="A99" s="189">
        <f t="shared" si="5"/>
        <v>1.2500000000000004</v>
      </c>
      <c r="B99" s="202">
        <f t="shared" si="8"/>
        <v>0</v>
      </c>
      <c r="C99" s="202">
        <f t="shared" si="8"/>
        <v>0</v>
      </c>
      <c r="D99" s="202">
        <f t="shared" si="8"/>
        <v>0.95</v>
      </c>
      <c r="E99" s="202">
        <f t="shared" si="8"/>
        <v>0.95</v>
      </c>
      <c r="F99" s="202">
        <f t="shared" si="8"/>
        <v>0</v>
      </c>
      <c r="G99" s="202">
        <f t="shared" si="8"/>
        <v>0</v>
      </c>
    </row>
    <row r="100" spans="1:7">
      <c r="A100" s="189">
        <f t="shared" ref="A100:A163" si="9">A99+$G$19</f>
        <v>1.2600000000000005</v>
      </c>
      <c r="B100" s="202">
        <f t="shared" si="8"/>
        <v>0</v>
      </c>
      <c r="C100" s="202">
        <f t="shared" si="8"/>
        <v>0</v>
      </c>
      <c r="D100" s="202">
        <f t="shared" si="8"/>
        <v>0.95</v>
      </c>
      <c r="E100" s="202">
        <f t="shared" si="8"/>
        <v>0.95</v>
      </c>
      <c r="F100" s="202">
        <f t="shared" si="8"/>
        <v>0</v>
      </c>
      <c r="G100" s="202">
        <f t="shared" si="8"/>
        <v>0</v>
      </c>
    </row>
    <row r="101" spans="1:7">
      <c r="A101" s="189">
        <f t="shared" si="9"/>
        <v>1.2700000000000005</v>
      </c>
      <c r="B101" s="202">
        <f t="shared" si="8"/>
        <v>0</v>
      </c>
      <c r="C101" s="202">
        <f t="shared" si="8"/>
        <v>0</v>
      </c>
      <c r="D101" s="202">
        <f t="shared" si="8"/>
        <v>0.95</v>
      </c>
      <c r="E101" s="202">
        <f t="shared" si="8"/>
        <v>0.95</v>
      </c>
      <c r="F101" s="202">
        <f t="shared" si="8"/>
        <v>0</v>
      </c>
      <c r="G101" s="202">
        <f t="shared" si="8"/>
        <v>0</v>
      </c>
    </row>
    <row r="102" spans="1:7">
      <c r="A102" s="189">
        <f t="shared" si="9"/>
        <v>1.2800000000000005</v>
      </c>
      <c r="B102" s="202">
        <f t="shared" si="8"/>
        <v>0</v>
      </c>
      <c r="C102" s="202">
        <f t="shared" si="8"/>
        <v>0</v>
      </c>
      <c r="D102" s="202">
        <f t="shared" si="8"/>
        <v>0.95</v>
      </c>
      <c r="E102" s="202">
        <f t="shared" si="8"/>
        <v>0.95</v>
      </c>
      <c r="F102" s="202">
        <f t="shared" si="8"/>
        <v>0</v>
      </c>
      <c r="G102" s="202">
        <f t="shared" si="8"/>
        <v>0</v>
      </c>
    </row>
    <row r="103" spans="1:7">
      <c r="A103" s="189">
        <f t="shared" si="9"/>
        <v>1.2900000000000005</v>
      </c>
      <c r="B103" s="202">
        <f t="shared" ref="B103:G118" si="10">IF($A103&lt;B$28,MAX(0,MIN($G$17,0.5+$G$18*($A103-B$26)/B$26)),MAX(0,MIN($G$17,0.5-$G$18*($A103-B$27)/B$27)))</f>
        <v>0</v>
      </c>
      <c r="C103" s="202">
        <f t="shared" si="10"/>
        <v>0</v>
      </c>
      <c r="D103" s="202">
        <f t="shared" si="10"/>
        <v>0.95</v>
      </c>
      <c r="E103" s="202">
        <f t="shared" si="10"/>
        <v>0.95</v>
      </c>
      <c r="F103" s="202">
        <f t="shared" si="10"/>
        <v>0</v>
      </c>
      <c r="G103" s="202">
        <f t="shared" si="10"/>
        <v>0</v>
      </c>
    </row>
    <row r="104" spans="1:7">
      <c r="A104" s="189">
        <f t="shared" si="9"/>
        <v>1.3000000000000005</v>
      </c>
      <c r="B104" s="202">
        <f t="shared" si="10"/>
        <v>0</v>
      </c>
      <c r="C104" s="202">
        <f t="shared" si="10"/>
        <v>0</v>
      </c>
      <c r="D104" s="202">
        <f t="shared" si="10"/>
        <v>0.95</v>
      </c>
      <c r="E104" s="202">
        <f t="shared" si="10"/>
        <v>0.95</v>
      </c>
      <c r="F104" s="202">
        <f t="shared" si="10"/>
        <v>0</v>
      </c>
      <c r="G104" s="202">
        <f t="shared" si="10"/>
        <v>0</v>
      </c>
    </row>
    <row r="105" spans="1:7">
      <c r="A105" s="189">
        <f t="shared" si="9"/>
        <v>1.3100000000000005</v>
      </c>
      <c r="B105" s="202">
        <f t="shared" si="10"/>
        <v>0</v>
      </c>
      <c r="C105" s="202">
        <f t="shared" si="10"/>
        <v>0</v>
      </c>
      <c r="D105" s="202">
        <f t="shared" si="10"/>
        <v>0.95</v>
      </c>
      <c r="E105" s="202">
        <f t="shared" si="10"/>
        <v>0.95</v>
      </c>
      <c r="F105" s="202">
        <f t="shared" si="10"/>
        <v>0</v>
      </c>
      <c r="G105" s="202">
        <f t="shared" si="10"/>
        <v>0</v>
      </c>
    </row>
    <row r="106" spans="1:7">
      <c r="A106" s="189">
        <f t="shared" si="9"/>
        <v>1.3200000000000005</v>
      </c>
      <c r="B106" s="202">
        <f t="shared" si="10"/>
        <v>0</v>
      </c>
      <c r="C106" s="202">
        <f t="shared" si="10"/>
        <v>0</v>
      </c>
      <c r="D106" s="202">
        <f t="shared" si="10"/>
        <v>0.95</v>
      </c>
      <c r="E106" s="202">
        <f t="shared" si="10"/>
        <v>0.95</v>
      </c>
      <c r="F106" s="202">
        <f t="shared" si="10"/>
        <v>0</v>
      </c>
      <c r="G106" s="202">
        <f t="shared" si="10"/>
        <v>0</v>
      </c>
    </row>
    <row r="107" spans="1:7">
      <c r="A107" s="189">
        <f t="shared" si="9"/>
        <v>1.3300000000000005</v>
      </c>
      <c r="B107" s="202">
        <f t="shared" si="10"/>
        <v>0</v>
      </c>
      <c r="C107" s="202">
        <f t="shared" si="10"/>
        <v>0</v>
      </c>
      <c r="D107" s="202">
        <f t="shared" si="10"/>
        <v>0.95</v>
      </c>
      <c r="E107" s="202">
        <f t="shared" si="10"/>
        <v>0.95</v>
      </c>
      <c r="F107" s="202">
        <f t="shared" si="10"/>
        <v>0</v>
      </c>
      <c r="G107" s="202">
        <f t="shared" si="10"/>
        <v>0</v>
      </c>
    </row>
    <row r="108" spans="1:7">
      <c r="A108" s="189">
        <f t="shared" si="9"/>
        <v>1.3400000000000005</v>
      </c>
      <c r="B108" s="202">
        <f t="shared" si="10"/>
        <v>0</v>
      </c>
      <c r="C108" s="202">
        <f t="shared" si="10"/>
        <v>0</v>
      </c>
      <c r="D108" s="202">
        <f t="shared" si="10"/>
        <v>0.95</v>
      </c>
      <c r="E108" s="202">
        <f t="shared" si="10"/>
        <v>0.95</v>
      </c>
      <c r="F108" s="202">
        <f t="shared" si="10"/>
        <v>0</v>
      </c>
      <c r="G108" s="202">
        <f t="shared" si="10"/>
        <v>0</v>
      </c>
    </row>
    <row r="109" spans="1:7">
      <c r="A109" s="189">
        <f t="shared" si="9"/>
        <v>1.3500000000000005</v>
      </c>
      <c r="B109" s="202">
        <f t="shared" si="10"/>
        <v>0</v>
      </c>
      <c r="C109" s="202">
        <f t="shared" si="10"/>
        <v>2.142665400724475E-2</v>
      </c>
      <c r="D109" s="202">
        <f t="shared" si="10"/>
        <v>0.95</v>
      </c>
      <c r="E109" s="202">
        <f t="shared" si="10"/>
        <v>0.95</v>
      </c>
      <c r="F109" s="202">
        <f t="shared" si="10"/>
        <v>0</v>
      </c>
      <c r="G109" s="202">
        <f t="shared" si="10"/>
        <v>0</v>
      </c>
    </row>
    <row r="110" spans="1:7">
      <c r="A110" s="189">
        <f t="shared" si="9"/>
        <v>1.3600000000000005</v>
      </c>
      <c r="B110" s="202">
        <f t="shared" si="10"/>
        <v>0</v>
      </c>
      <c r="C110" s="202">
        <f t="shared" si="10"/>
        <v>0.18207919712334786</v>
      </c>
      <c r="D110" s="202">
        <f t="shared" si="10"/>
        <v>0.95</v>
      </c>
      <c r="E110" s="202">
        <f t="shared" si="10"/>
        <v>0.95</v>
      </c>
      <c r="F110" s="202">
        <f t="shared" si="10"/>
        <v>0</v>
      </c>
      <c r="G110" s="202">
        <f t="shared" si="10"/>
        <v>0</v>
      </c>
    </row>
    <row r="111" spans="1:7">
      <c r="A111" s="189">
        <f t="shared" si="9"/>
        <v>1.3700000000000006</v>
      </c>
      <c r="B111" s="202">
        <f t="shared" si="10"/>
        <v>0</v>
      </c>
      <c r="C111" s="202">
        <f t="shared" si="10"/>
        <v>0.34273174023945097</v>
      </c>
      <c r="D111" s="202">
        <f t="shared" si="10"/>
        <v>0.95</v>
      </c>
      <c r="E111" s="202">
        <f t="shared" si="10"/>
        <v>0.95</v>
      </c>
      <c r="F111" s="202">
        <f t="shared" si="10"/>
        <v>0</v>
      </c>
      <c r="G111" s="202">
        <f t="shared" si="10"/>
        <v>0</v>
      </c>
    </row>
    <row r="112" spans="1:7">
      <c r="A112" s="189">
        <f t="shared" si="9"/>
        <v>1.3800000000000006</v>
      </c>
      <c r="B112" s="202">
        <f t="shared" si="10"/>
        <v>0</v>
      </c>
      <c r="C112" s="202">
        <f t="shared" si="10"/>
        <v>0.50338428335555407</v>
      </c>
      <c r="D112" s="202">
        <f t="shared" si="10"/>
        <v>0.95</v>
      </c>
      <c r="E112" s="202">
        <f t="shared" si="10"/>
        <v>0.95</v>
      </c>
      <c r="F112" s="202">
        <f t="shared" si="10"/>
        <v>0</v>
      </c>
      <c r="G112" s="202">
        <f t="shared" si="10"/>
        <v>0</v>
      </c>
    </row>
    <row r="113" spans="1:7">
      <c r="A113" s="189">
        <f t="shared" si="9"/>
        <v>1.3900000000000006</v>
      </c>
      <c r="B113" s="202">
        <f t="shared" si="10"/>
        <v>0</v>
      </c>
      <c r="C113" s="202">
        <f t="shared" si="10"/>
        <v>0.66403682647165718</v>
      </c>
      <c r="D113" s="202">
        <f t="shared" si="10"/>
        <v>0.95</v>
      </c>
      <c r="E113" s="202">
        <f t="shared" si="10"/>
        <v>0.95</v>
      </c>
      <c r="F113" s="202">
        <f t="shared" si="10"/>
        <v>0</v>
      </c>
      <c r="G113" s="202">
        <f t="shared" si="10"/>
        <v>0</v>
      </c>
    </row>
    <row r="114" spans="1:7">
      <c r="A114" s="189">
        <f t="shared" si="9"/>
        <v>1.4000000000000006</v>
      </c>
      <c r="B114" s="202">
        <f t="shared" si="10"/>
        <v>0</v>
      </c>
      <c r="C114" s="202">
        <f t="shared" si="10"/>
        <v>0.82468936958776029</v>
      </c>
      <c r="D114" s="202">
        <f t="shared" si="10"/>
        <v>0.95</v>
      </c>
      <c r="E114" s="202">
        <f t="shared" si="10"/>
        <v>0.95</v>
      </c>
      <c r="F114" s="202">
        <f t="shared" si="10"/>
        <v>0</v>
      </c>
      <c r="G114" s="202">
        <f t="shared" si="10"/>
        <v>0</v>
      </c>
    </row>
    <row r="115" spans="1:7">
      <c r="A115" s="189">
        <f t="shared" si="9"/>
        <v>1.4100000000000006</v>
      </c>
      <c r="B115" s="202">
        <f t="shared" si="10"/>
        <v>0</v>
      </c>
      <c r="C115" s="202">
        <f t="shared" si="10"/>
        <v>0.95</v>
      </c>
      <c r="D115" s="202">
        <f t="shared" si="10"/>
        <v>0.95</v>
      </c>
      <c r="E115" s="202">
        <f t="shared" si="10"/>
        <v>0.95</v>
      </c>
      <c r="F115" s="202">
        <f t="shared" si="10"/>
        <v>0</v>
      </c>
      <c r="G115" s="202">
        <f t="shared" si="10"/>
        <v>0</v>
      </c>
    </row>
    <row r="116" spans="1:7">
      <c r="A116" s="189">
        <f t="shared" si="9"/>
        <v>1.4200000000000006</v>
      </c>
      <c r="B116" s="202">
        <f t="shared" si="10"/>
        <v>0</v>
      </c>
      <c r="C116" s="202">
        <f t="shared" si="10"/>
        <v>0.95</v>
      </c>
      <c r="D116" s="202">
        <f t="shared" si="10"/>
        <v>0.95</v>
      </c>
      <c r="E116" s="202">
        <f t="shared" si="10"/>
        <v>0.95</v>
      </c>
      <c r="F116" s="202">
        <f t="shared" si="10"/>
        <v>0</v>
      </c>
      <c r="G116" s="202">
        <f t="shared" si="10"/>
        <v>0</v>
      </c>
    </row>
    <row r="117" spans="1:7">
      <c r="A117" s="189">
        <f t="shared" si="9"/>
        <v>1.4300000000000006</v>
      </c>
      <c r="B117" s="202">
        <f t="shared" si="10"/>
        <v>0</v>
      </c>
      <c r="C117" s="202">
        <f t="shared" si="10"/>
        <v>0.95</v>
      </c>
      <c r="D117" s="202">
        <f t="shared" si="10"/>
        <v>0.86888805705237504</v>
      </c>
      <c r="E117" s="202">
        <f t="shared" si="10"/>
        <v>0.95</v>
      </c>
      <c r="F117" s="202">
        <f t="shared" si="10"/>
        <v>0</v>
      </c>
      <c r="G117" s="202">
        <f t="shared" si="10"/>
        <v>0</v>
      </c>
    </row>
    <row r="118" spans="1:7">
      <c r="A118" s="189">
        <f t="shared" si="9"/>
        <v>1.4400000000000006</v>
      </c>
      <c r="B118" s="202">
        <f t="shared" si="10"/>
        <v>0</v>
      </c>
      <c r="C118" s="202">
        <f t="shared" si="10"/>
        <v>0.95</v>
      </c>
      <c r="D118" s="202">
        <f t="shared" si="10"/>
        <v>0.71645603880332398</v>
      </c>
      <c r="E118" s="202">
        <f t="shared" si="10"/>
        <v>0.95</v>
      </c>
      <c r="F118" s="202">
        <f t="shared" si="10"/>
        <v>0</v>
      </c>
      <c r="G118" s="202">
        <f t="shared" si="10"/>
        <v>0</v>
      </c>
    </row>
    <row r="119" spans="1:7">
      <c r="A119" s="189">
        <f t="shared" si="9"/>
        <v>1.4500000000000006</v>
      </c>
      <c r="B119" s="202">
        <f t="shared" ref="B119:G134" si="11">IF($A119&lt;B$28,MAX(0,MIN($G$17,0.5+$G$18*($A119-B$26)/B$26)),MAX(0,MIN($G$17,0.5-$G$18*($A119-B$27)/B$27)))</f>
        <v>0</v>
      </c>
      <c r="C119" s="202">
        <f t="shared" si="11"/>
        <v>0.95</v>
      </c>
      <c r="D119" s="202">
        <f t="shared" si="11"/>
        <v>0.56402402055427292</v>
      </c>
      <c r="E119" s="202">
        <f t="shared" si="11"/>
        <v>0.95</v>
      </c>
      <c r="F119" s="202">
        <f t="shared" si="11"/>
        <v>0</v>
      </c>
      <c r="G119" s="202">
        <f t="shared" si="11"/>
        <v>0</v>
      </c>
    </row>
    <row r="120" spans="1:7">
      <c r="A120" s="189">
        <f t="shared" si="9"/>
        <v>1.4600000000000006</v>
      </c>
      <c r="B120" s="202">
        <f t="shared" si="11"/>
        <v>0</v>
      </c>
      <c r="C120" s="202">
        <f t="shared" si="11"/>
        <v>0.95</v>
      </c>
      <c r="D120" s="202">
        <f t="shared" si="11"/>
        <v>0.41159200230522186</v>
      </c>
      <c r="E120" s="202">
        <f t="shared" si="11"/>
        <v>0.95</v>
      </c>
      <c r="F120" s="202">
        <f t="shared" si="11"/>
        <v>0</v>
      </c>
      <c r="G120" s="202">
        <f t="shared" si="11"/>
        <v>0</v>
      </c>
    </row>
    <row r="121" spans="1:7">
      <c r="A121" s="189">
        <f t="shared" si="9"/>
        <v>1.4700000000000006</v>
      </c>
      <c r="B121" s="202">
        <f t="shared" si="11"/>
        <v>0</v>
      </c>
      <c r="C121" s="202">
        <f t="shared" si="11"/>
        <v>0.95</v>
      </c>
      <c r="D121" s="202">
        <f t="shared" si="11"/>
        <v>0.2591599840561708</v>
      </c>
      <c r="E121" s="202">
        <f t="shared" si="11"/>
        <v>0.95</v>
      </c>
      <c r="F121" s="202">
        <f t="shared" si="11"/>
        <v>0</v>
      </c>
      <c r="G121" s="202">
        <f t="shared" si="11"/>
        <v>0</v>
      </c>
    </row>
    <row r="122" spans="1:7">
      <c r="A122" s="189">
        <f t="shared" si="9"/>
        <v>1.4800000000000006</v>
      </c>
      <c r="B122" s="202">
        <f t="shared" si="11"/>
        <v>0</v>
      </c>
      <c r="C122" s="202">
        <f t="shared" si="11"/>
        <v>0.95</v>
      </c>
      <c r="D122" s="202">
        <f t="shared" si="11"/>
        <v>0.1067279658071198</v>
      </c>
      <c r="E122" s="202">
        <f t="shared" si="11"/>
        <v>0.95</v>
      </c>
      <c r="F122" s="202">
        <f t="shared" si="11"/>
        <v>0</v>
      </c>
      <c r="G122" s="202">
        <f t="shared" si="11"/>
        <v>0</v>
      </c>
    </row>
    <row r="123" spans="1:7">
      <c r="A123" s="189">
        <f t="shared" si="9"/>
        <v>1.4900000000000007</v>
      </c>
      <c r="B123" s="202">
        <f t="shared" si="11"/>
        <v>0</v>
      </c>
      <c r="C123" s="202">
        <f t="shared" si="11"/>
        <v>0.95</v>
      </c>
      <c r="D123" s="202">
        <f t="shared" si="11"/>
        <v>0</v>
      </c>
      <c r="E123" s="202">
        <f t="shared" si="11"/>
        <v>0.95</v>
      </c>
      <c r="F123" s="202">
        <f t="shared" si="11"/>
        <v>0</v>
      </c>
      <c r="G123" s="202">
        <f t="shared" si="11"/>
        <v>0</v>
      </c>
    </row>
    <row r="124" spans="1:7">
      <c r="A124" s="189">
        <f t="shared" si="9"/>
        <v>1.5000000000000007</v>
      </c>
      <c r="B124" s="202">
        <f t="shared" si="11"/>
        <v>0</v>
      </c>
      <c r="C124" s="202">
        <f t="shared" si="11"/>
        <v>0.95</v>
      </c>
      <c r="D124" s="202">
        <f t="shared" si="11"/>
        <v>0</v>
      </c>
      <c r="E124" s="202">
        <f t="shared" si="11"/>
        <v>0.95</v>
      </c>
      <c r="F124" s="202">
        <f t="shared" si="11"/>
        <v>0</v>
      </c>
      <c r="G124" s="202">
        <f t="shared" si="11"/>
        <v>0</v>
      </c>
    </row>
    <row r="125" spans="1:7">
      <c r="A125" s="189">
        <f t="shared" si="9"/>
        <v>1.5100000000000007</v>
      </c>
      <c r="B125" s="202">
        <f t="shared" si="11"/>
        <v>0</v>
      </c>
      <c r="C125" s="202">
        <f t="shared" si="11"/>
        <v>0.95</v>
      </c>
      <c r="D125" s="202">
        <f t="shared" si="11"/>
        <v>0</v>
      </c>
      <c r="E125" s="202">
        <f t="shared" si="11"/>
        <v>0.95</v>
      </c>
      <c r="F125" s="202">
        <f t="shared" si="11"/>
        <v>0</v>
      </c>
      <c r="G125" s="202">
        <f t="shared" si="11"/>
        <v>0</v>
      </c>
    </row>
    <row r="126" spans="1:7">
      <c r="A126" s="189">
        <f t="shared" si="9"/>
        <v>1.5200000000000007</v>
      </c>
      <c r="B126" s="202">
        <f t="shared" si="11"/>
        <v>0</v>
      </c>
      <c r="C126" s="202">
        <f t="shared" si="11"/>
        <v>0.95</v>
      </c>
      <c r="D126" s="202">
        <f t="shared" si="11"/>
        <v>0</v>
      </c>
      <c r="E126" s="202">
        <f t="shared" si="11"/>
        <v>0.95</v>
      </c>
      <c r="F126" s="202">
        <f t="shared" si="11"/>
        <v>0</v>
      </c>
      <c r="G126" s="202">
        <f t="shared" si="11"/>
        <v>0</v>
      </c>
    </row>
    <row r="127" spans="1:7">
      <c r="A127" s="189">
        <f t="shared" si="9"/>
        <v>1.5300000000000007</v>
      </c>
      <c r="B127" s="202">
        <f t="shared" si="11"/>
        <v>0</v>
      </c>
      <c r="C127" s="202">
        <f t="shared" si="11"/>
        <v>0.95</v>
      </c>
      <c r="D127" s="202">
        <f t="shared" si="11"/>
        <v>0</v>
      </c>
      <c r="E127" s="202">
        <f t="shared" si="11"/>
        <v>0.95</v>
      </c>
      <c r="F127" s="202">
        <f t="shared" si="11"/>
        <v>0</v>
      </c>
      <c r="G127" s="202">
        <f t="shared" si="11"/>
        <v>0</v>
      </c>
    </row>
    <row r="128" spans="1:7">
      <c r="A128" s="189">
        <f t="shared" si="9"/>
        <v>1.5400000000000007</v>
      </c>
      <c r="B128" s="202">
        <f t="shared" si="11"/>
        <v>0</v>
      </c>
      <c r="C128" s="202">
        <f t="shared" si="11"/>
        <v>0.95</v>
      </c>
      <c r="D128" s="202">
        <f t="shared" si="11"/>
        <v>0</v>
      </c>
      <c r="E128" s="202">
        <f t="shared" si="11"/>
        <v>0.95</v>
      </c>
      <c r="F128" s="202">
        <f t="shared" si="11"/>
        <v>0</v>
      </c>
      <c r="G128" s="202">
        <f t="shared" si="11"/>
        <v>0</v>
      </c>
    </row>
    <row r="129" spans="1:7">
      <c r="A129" s="189">
        <f t="shared" si="9"/>
        <v>1.5500000000000007</v>
      </c>
      <c r="B129" s="202">
        <f t="shared" si="11"/>
        <v>0</v>
      </c>
      <c r="C129" s="202">
        <f t="shared" si="11"/>
        <v>0.95</v>
      </c>
      <c r="D129" s="202">
        <f t="shared" si="11"/>
        <v>0</v>
      </c>
      <c r="E129" s="202">
        <f t="shared" si="11"/>
        <v>0.95</v>
      </c>
      <c r="F129" s="202">
        <f t="shared" si="11"/>
        <v>0</v>
      </c>
      <c r="G129" s="202">
        <f t="shared" si="11"/>
        <v>0</v>
      </c>
    </row>
    <row r="130" spans="1:7">
      <c r="A130" s="189">
        <f t="shared" si="9"/>
        <v>1.5600000000000007</v>
      </c>
      <c r="B130" s="202">
        <f t="shared" si="11"/>
        <v>0</v>
      </c>
      <c r="C130" s="202">
        <f t="shared" si="11"/>
        <v>0.95</v>
      </c>
      <c r="D130" s="202">
        <f t="shared" si="11"/>
        <v>0</v>
      </c>
      <c r="E130" s="202">
        <f t="shared" si="11"/>
        <v>0.95</v>
      </c>
      <c r="F130" s="202">
        <f t="shared" si="11"/>
        <v>0</v>
      </c>
      <c r="G130" s="202">
        <f t="shared" si="11"/>
        <v>0</v>
      </c>
    </row>
    <row r="131" spans="1:7">
      <c r="A131" s="189">
        <f t="shared" si="9"/>
        <v>1.5700000000000007</v>
      </c>
      <c r="B131" s="202">
        <f t="shared" si="11"/>
        <v>0</v>
      </c>
      <c r="C131" s="202">
        <f t="shared" si="11"/>
        <v>0.95</v>
      </c>
      <c r="D131" s="202">
        <f t="shared" si="11"/>
        <v>0</v>
      </c>
      <c r="E131" s="202">
        <f t="shared" si="11"/>
        <v>0.95</v>
      </c>
      <c r="F131" s="202">
        <f t="shared" si="11"/>
        <v>0</v>
      </c>
      <c r="G131" s="202">
        <f t="shared" si="11"/>
        <v>0</v>
      </c>
    </row>
    <row r="132" spans="1:7">
      <c r="A132" s="189">
        <f t="shared" si="9"/>
        <v>1.5800000000000007</v>
      </c>
      <c r="B132" s="202">
        <f t="shared" si="11"/>
        <v>0</v>
      </c>
      <c r="C132" s="202">
        <f t="shared" si="11"/>
        <v>0.95</v>
      </c>
      <c r="D132" s="202">
        <f t="shared" si="11"/>
        <v>0</v>
      </c>
      <c r="E132" s="202">
        <f t="shared" si="11"/>
        <v>0.95</v>
      </c>
      <c r="F132" s="202">
        <f t="shared" si="11"/>
        <v>0</v>
      </c>
      <c r="G132" s="202">
        <f t="shared" si="11"/>
        <v>0</v>
      </c>
    </row>
    <row r="133" spans="1:7">
      <c r="A133" s="189">
        <f t="shared" si="9"/>
        <v>1.5900000000000007</v>
      </c>
      <c r="B133" s="202">
        <f t="shared" si="11"/>
        <v>0</v>
      </c>
      <c r="C133" s="202">
        <f t="shared" si="11"/>
        <v>0.95</v>
      </c>
      <c r="D133" s="202">
        <f t="shared" si="11"/>
        <v>0</v>
      </c>
      <c r="E133" s="202">
        <f t="shared" si="11"/>
        <v>0.95</v>
      </c>
      <c r="F133" s="202">
        <f t="shared" si="11"/>
        <v>0</v>
      </c>
      <c r="G133" s="202">
        <f t="shared" si="11"/>
        <v>0</v>
      </c>
    </row>
    <row r="134" spans="1:7">
      <c r="A134" s="189">
        <f t="shared" si="9"/>
        <v>1.6000000000000008</v>
      </c>
      <c r="B134" s="202">
        <f t="shared" si="11"/>
        <v>0</v>
      </c>
      <c r="C134" s="202">
        <f t="shared" si="11"/>
        <v>0.95</v>
      </c>
      <c r="D134" s="202">
        <f t="shared" si="11"/>
        <v>0</v>
      </c>
      <c r="E134" s="202">
        <f t="shared" si="11"/>
        <v>0.95</v>
      </c>
      <c r="F134" s="202">
        <f t="shared" si="11"/>
        <v>0</v>
      </c>
      <c r="G134" s="202">
        <f t="shared" si="11"/>
        <v>0</v>
      </c>
    </row>
    <row r="135" spans="1:7">
      <c r="A135" s="189">
        <f t="shared" si="9"/>
        <v>1.6100000000000008</v>
      </c>
      <c r="B135" s="202">
        <f t="shared" ref="B135:G150" si="12">IF($A135&lt;B$28,MAX(0,MIN($G$17,0.5+$G$18*($A135-B$26)/B$26)),MAX(0,MIN($G$17,0.5-$G$18*($A135-B$27)/B$27)))</f>
        <v>0</v>
      </c>
      <c r="C135" s="202">
        <f t="shared" si="12"/>
        <v>0.95</v>
      </c>
      <c r="D135" s="202">
        <f t="shared" si="12"/>
        <v>0</v>
      </c>
      <c r="E135" s="202">
        <f t="shared" si="12"/>
        <v>0.95</v>
      </c>
      <c r="F135" s="202">
        <f t="shared" si="12"/>
        <v>0</v>
      </c>
      <c r="G135" s="202">
        <f t="shared" si="12"/>
        <v>0</v>
      </c>
    </row>
    <row r="136" spans="1:7">
      <c r="A136" s="189">
        <f t="shared" si="9"/>
        <v>1.6200000000000008</v>
      </c>
      <c r="B136" s="202">
        <f t="shared" si="12"/>
        <v>0</v>
      </c>
      <c r="C136" s="202">
        <f t="shared" si="12"/>
        <v>0.95</v>
      </c>
      <c r="D136" s="202">
        <f t="shared" si="12"/>
        <v>0</v>
      </c>
      <c r="E136" s="202">
        <f t="shared" si="12"/>
        <v>0.95</v>
      </c>
      <c r="F136" s="202">
        <f t="shared" si="12"/>
        <v>0</v>
      </c>
      <c r="G136" s="202">
        <f t="shared" si="12"/>
        <v>0</v>
      </c>
    </row>
    <row r="137" spans="1:7">
      <c r="A137" s="189">
        <f t="shared" si="9"/>
        <v>1.6300000000000008</v>
      </c>
      <c r="B137" s="202">
        <f t="shared" si="12"/>
        <v>0</v>
      </c>
      <c r="C137" s="202">
        <f t="shared" si="12"/>
        <v>0.95</v>
      </c>
      <c r="D137" s="202">
        <f t="shared" si="12"/>
        <v>0</v>
      </c>
      <c r="E137" s="202">
        <f t="shared" si="12"/>
        <v>0.95</v>
      </c>
      <c r="F137" s="202">
        <f t="shared" si="12"/>
        <v>0</v>
      </c>
      <c r="G137" s="202">
        <f t="shared" si="12"/>
        <v>0</v>
      </c>
    </row>
    <row r="138" spans="1:7">
      <c r="A138" s="189">
        <f t="shared" si="9"/>
        <v>1.6400000000000008</v>
      </c>
      <c r="B138" s="202">
        <f t="shared" si="12"/>
        <v>0</v>
      </c>
      <c r="C138" s="202">
        <f t="shared" si="12"/>
        <v>0.95</v>
      </c>
      <c r="D138" s="202">
        <f t="shared" si="12"/>
        <v>0</v>
      </c>
      <c r="E138" s="202">
        <f t="shared" si="12"/>
        <v>0.95</v>
      </c>
      <c r="F138" s="202">
        <f t="shared" si="12"/>
        <v>0</v>
      </c>
      <c r="G138" s="202">
        <f t="shared" si="12"/>
        <v>0</v>
      </c>
    </row>
    <row r="139" spans="1:7">
      <c r="A139" s="189">
        <f t="shared" si="9"/>
        <v>1.6500000000000008</v>
      </c>
      <c r="B139" s="202">
        <f t="shared" si="12"/>
        <v>6.2270520901172077E-2</v>
      </c>
      <c r="C139" s="202">
        <f t="shared" si="12"/>
        <v>0.95</v>
      </c>
      <c r="D139" s="202">
        <f t="shared" si="12"/>
        <v>0</v>
      </c>
      <c r="E139" s="202">
        <f t="shared" si="12"/>
        <v>0.95</v>
      </c>
      <c r="F139" s="202">
        <f t="shared" si="12"/>
        <v>0</v>
      </c>
      <c r="G139" s="202">
        <f t="shared" si="12"/>
        <v>0</v>
      </c>
    </row>
    <row r="140" spans="1:7">
      <c r="A140" s="189">
        <f t="shared" si="9"/>
        <v>1.6600000000000008</v>
      </c>
      <c r="B140" s="202">
        <f t="shared" si="12"/>
        <v>0.19396104931067421</v>
      </c>
      <c r="C140" s="202">
        <f t="shared" si="12"/>
        <v>0.95</v>
      </c>
      <c r="D140" s="202">
        <f t="shared" si="12"/>
        <v>0</v>
      </c>
      <c r="E140" s="202">
        <f t="shared" si="12"/>
        <v>0.95</v>
      </c>
      <c r="F140" s="202">
        <f t="shared" si="12"/>
        <v>0</v>
      </c>
      <c r="G140" s="202">
        <f t="shared" si="12"/>
        <v>0</v>
      </c>
    </row>
    <row r="141" spans="1:7">
      <c r="A141" s="189">
        <f t="shared" si="9"/>
        <v>1.6700000000000008</v>
      </c>
      <c r="B141" s="202">
        <f t="shared" si="12"/>
        <v>0.32565157772017628</v>
      </c>
      <c r="C141" s="202">
        <f t="shared" si="12"/>
        <v>0.95</v>
      </c>
      <c r="D141" s="202">
        <f t="shared" si="12"/>
        <v>0</v>
      </c>
      <c r="E141" s="202">
        <f t="shared" si="12"/>
        <v>0.95</v>
      </c>
      <c r="F141" s="202">
        <f t="shared" si="12"/>
        <v>0</v>
      </c>
      <c r="G141" s="202">
        <f t="shared" si="12"/>
        <v>0</v>
      </c>
    </row>
    <row r="142" spans="1:7">
      <c r="A142" s="189">
        <f t="shared" si="9"/>
        <v>1.6800000000000008</v>
      </c>
      <c r="B142" s="202">
        <f t="shared" si="12"/>
        <v>0.45734210612967841</v>
      </c>
      <c r="C142" s="202">
        <f t="shared" si="12"/>
        <v>0.95</v>
      </c>
      <c r="D142" s="202">
        <f t="shared" si="12"/>
        <v>0</v>
      </c>
      <c r="E142" s="202">
        <f t="shared" si="12"/>
        <v>0.95</v>
      </c>
      <c r="F142" s="202">
        <f t="shared" si="12"/>
        <v>0</v>
      </c>
      <c r="G142" s="202">
        <f t="shared" si="12"/>
        <v>0</v>
      </c>
    </row>
    <row r="143" spans="1:7">
      <c r="A143" s="189">
        <f t="shared" si="9"/>
        <v>1.6900000000000008</v>
      </c>
      <c r="B143" s="202">
        <f t="shared" si="12"/>
        <v>0.58903263453918053</v>
      </c>
      <c r="C143" s="202">
        <f t="shared" si="12"/>
        <v>0.95</v>
      </c>
      <c r="D143" s="202">
        <f t="shared" si="12"/>
        <v>0</v>
      </c>
      <c r="E143" s="202">
        <f t="shared" si="12"/>
        <v>0.95</v>
      </c>
      <c r="F143" s="202">
        <f t="shared" si="12"/>
        <v>0</v>
      </c>
      <c r="G143" s="202">
        <f t="shared" si="12"/>
        <v>0</v>
      </c>
    </row>
    <row r="144" spans="1:7">
      <c r="A144" s="189">
        <f t="shared" si="9"/>
        <v>1.7000000000000008</v>
      </c>
      <c r="B144" s="202">
        <f t="shared" si="12"/>
        <v>0.72072316294868255</v>
      </c>
      <c r="C144" s="202">
        <f t="shared" si="12"/>
        <v>0.95</v>
      </c>
      <c r="D144" s="202">
        <f t="shared" si="12"/>
        <v>0</v>
      </c>
      <c r="E144" s="202">
        <f t="shared" si="12"/>
        <v>0.95</v>
      </c>
      <c r="F144" s="202">
        <f t="shared" si="12"/>
        <v>0</v>
      </c>
      <c r="G144" s="202">
        <f t="shared" si="12"/>
        <v>0</v>
      </c>
    </row>
    <row r="145" spans="1:7">
      <c r="A145" s="189">
        <f t="shared" si="9"/>
        <v>1.7100000000000009</v>
      </c>
      <c r="B145" s="202">
        <f t="shared" si="12"/>
        <v>0.85241369135818468</v>
      </c>
      <c r="C145" s="202">
        <f t="shared" si="12"/>
        <v>0.95</v>
      </c>
      <c r="D145" s="202">
        <f t="shared" si="12"/>
        <v>0</v>
      </c>
      <c r="E145" s="202">
        <f t="shared" si="12"/>
        <v>0.95</v>
      </c>
      <c r="F145" s="202">
        <f t="shared" si="12"/>
        <v>0</v>
      </c>
      <c r="G145" s="202">
        <f t="shared" si="12"/>
        <v>0</v>
      </c>
    </row>
    <row r="146" spans="1:7">
      <c r="A146" s="189">
        <f t="shared" si="9"/>
        <v>1.7200000000000009</v>
      </c>
      <c r="B146" s="202">
        <f t="shared" si="12"/>
        <v>0.95</v>
      </c>
      <c r="C146" s="202">
        <f t="shared" si="12"/>
        <v>0.95</v>
      </c>
      <c r="D146" s="202">
        <f t="shared" si="12"/>
        <v>0</v>
      </c>
      <c r="E146" s="202">
        <f t="shared" si="12"/>
        <v>0.95</v>
      </c>
      <c r="F146" s="202">
        <f t="shared" si="12"/>
        <v>0</v>
      </c>
      <c r="G146" s="202">
        <f t="shared" si="12"/>
        <v>0</v>
      </c>
    </row>
    <row r="147" spans="1:7">
      <c r="A147" s="189">
        <f t="shared" si="9"/>
        <v>1.7300000000000009</v>
      </c>
      <c r="B147" s="202">
        <f t="shared" si="12"/>
        <v>0.95</v>
      </c>
      <c r="C147" s="202">
        <f t="shared" si="12"/>
        <v>0.95</v>
      </c>
      <c r="D147" s="202">
        <f t="shared" si="12"/>
        <v>0</v>
      </c>
      <c r="E147" s="202">
        <f t="shared" si="12"/>
        <v>0.95</v>
      </c>
      <c r="F147" s="202">
        <f t="shared" si="12"/>
        <v>0</v>
      </c>
      <c r="G147" s="202">
        <f t="shared" si="12"/>
        <v>0</v>
      </c>
    </row>
    <row r="148" spans="1:7">
      <c r="A148" s="189">
        <f t="shared" si="9"/>
        <v>1.7400000000000009</v>
      </c>
      <c r="B148" s="202">
        <f t="shared" si="12"/>
        <v>0.95</v>
      </c>
      <c r="C148" s="202">
        <f t="shared" si="12"/>
        <v>0.92502249828738559</v>
      </c>
      <c r="D148" s="202">
        <f t="shared" si="12"/>
        <v>0</v>
      </c>
      <c r="E148" s="202">
        <f t="shared" si="12"/>
        <v>0.95</v>
      </c>
      <c r="F148" s="202">
        <f t="shared" si="12"/>
        <v>0</v>
      </c>
      <c r="G148" s="202">
        <f t="shared" si="12"/>
        <v>0</v>
      </c>
    </row>
    <row r="149" spans="1:7">
      <c r="A149" s="189">
        <f t="shared" si="9"/>
        <v>1.7500000000000009</v>
      </c>
      <c r="B149" s="202">
        <f t="shared" si="12"/>
        <v>0.95</v>
      </c>
      <c r="C149" s="202">
        <f t="shared" si="12"/>
        <v>0.80007052030819426</v>
      </c>
      <c r="D149" s="202">
        <f t="shared" si="12"/>
        <v>0</v>
      </c>
      <c r="E149" s="202">
        <f t="shared" si="12"/>
        <v>0.95</v>
      </c>
      <c r="F149" s="202">
        <f t="shared" si="12"/>
        <v>0</v>
      </c>
      <c r="G149" s="202">
        <f t="shared" si="12"/>
        <v>0</v>
      </c>
    </row>
    <row r="150" spans="1:7">
      <c r="A150" s="189">
        <f t="shared" si="9"/>
        <v>1.7600000000000009</v>
      </c>
      <c r="B150" s="202">
        <f t="shared" si="12"/>
        <v>0.95</v>
      </c>
      <c r="C150" s="202">
        <f t="shared" si="12"/>
        <v>0.67511854232900292</v>
      </c>
      <c r="D150" s="202">
        <f t="shared" si="12"/>
        <v>0</v>
      </c>
      <c r="E150" s="202">
        <f t="shared" si="12"/>
        <v>0.95</v>
      </c>
      <c r="F150" s="202">
        <f t="shared" si="12"/>
        <v>0</v>
      </c>
      <c r="G150" s="202">
        <f t="shared" si="12"/>
        <v>0</v>
      </c>
    </row>
    <row r="151" spans="1:7">
      <c r="A151" s="189">
        <f t="shared" si="9"/>
        <v>1.7700000000000009</v>
      </c>
      <c r="B151" s="202">
        <f t="shared" ref="B151:G166" si="13">IF($A151&lt;B$28,MAX(0,MIN($G$17,0.5+$G$18*($A151-B$26)/B$26)),MAX(0,MIN($G$17,0.5-$G$18*($A151-B$27)/B$27)))</f>
        <v>0.95</v>
      </c>
      <c r="C151" s="202">
        <f t="shared" si="13"/>
        <v>0.55016656434981159</v>
      </c>
      <c r="D151" s="202">
        <f t="shared" si="13"/>
        <v>0</v>
      </c>
      <c r="E151" s="202">
        <f t="shared" si="13"/>
        <v>0.95</v>
      </c>
      <c r="F151" s="202">
        <f t="shared" si="13"/>
        <v>0</v>
      </c>
      <c r="G151" s="202">
        <f t="shared" si="13"/>
        <v>0</v>
      </c>
    </row>
    <row r="152" spans="1:7">
      <c r="A152" s="189">
        <f t="shared" si="9"/>
        <v>1.7800000000000009</v>
      </c>
      <c r="B152" s="202">
        <f t="shared" si="13"/>
        <v>0.95</v>
      </c>
      <c r="C152" s="202">
        <f t="shared" si="13"/>
        <v>0.42521458637062032</v>
      </c>
      <c r="D152" s="202">
        <f t="shared" si="13"/>
        <v>0</v>
      </c>
      <c r="E152" s="202">
        <f t="shared" si="13"/>
        <v>0.95</v>
      </c>
      <c r="F152" s="202">
        <f t="shared" si="13"/>
        <v>0</v>
      </c>
      <c r="G152" s="202">
        <f t="shared" si="13"/>
        <v>0</v>
      </c>
    </row>
    <row r="153" spans="1:7">
      <c r="A153" s="189">
        <f t="shared" si="9"/>
        <v>1.7900000000000009</v>
      </c>
      <c r="B153" s="202">
        <f t="shared" si="13"/>
        <v>0.95</v>
      </c>
      <c r="C153" s="202">
        <f t="shared" si="13"/>
        <v>0.30026260839142904</v>
      </c>
      <c r="D153" s="202">
        <f t="shared" si="13"/>
        <v>0</v>
      </c>
      <c r="E153" s="202">
        <f t="shared" si="13"/>
        <v>0.95</v>
      </c>
      <c r="F153" s="202">
        <f t="shared" si="13"/>
        <v>0</v>
      </c>
      <c r="G153" s="202">
        <f t="shared" si="13"/>
        <v>0</v>
      </c>
    </row>
    <row r="154" spans="1:7">
      <c r="A154" s="189">
        <f t="shared" si="9"/>
        <v>1.8000000000000009</v>
      </c>
      <c r="B154" s="202">
        <f t="shared" si="13"/>
        <v>0.95</v>
      </c>
      <c r="C154" s="202">
        <f t="shared" si="13"/>
        <v>0.17531063041223771</v>
      </c>
      <c r="D154" s="202">
        <f t="shared" si="13"/>
        <v>0</v>
      </c>
      <c r="E154" s="202">
        <f t="shared" si="13"/>
        <v>0.95</v>
      </c>
      <c r="F154" s="202">
        <f t="shared" si="13"/>
        <v>0</v>
      </c>
      <c r="G154" s="202">
        <f t="shared" si="13"/>
        <v>0</v>
      </c>
    </row>
    <row r="155" spans="1:7">
      <c r="A155" s="189">
        <f t="shared" si="9"/>
        <v>1.8100000000000009</v>
      </c>
      <c r="B155" s="202">
        <f t="shared" si="13"/>
        <v>0.95</v>
      </c>
      <c r="C155" s="202">
        <f t="shared" si="13"/>
        <v>5.035865243304638E-2</v>
      </c>
      <c r="D155" s="202">
        <f t="shared" si="13"/>
        <v>0</v>
      </c>
      <c r="E155" s="202">
        <f t="shared" si="13"/>
        <v>0.95</v>
      </c>
      <c r="F155" s="202">
        <f t="shared" si="13"/>
        <v>0</v>
      </c>
      <c r="G155" s="202">
        <f t="shared" si="13"/>
        <v>0</v>
      </c>
    </row>
    <row r="156" spans="1:7">
      <c r="A156" s="189">
        <f t="shared" si="9"/>
        <v>1.820000000000001</v>
      </c>
      <c r="B156" s="202">
        <f t="shared" si="13"/>
        <v>0.95</v>
      </c>
      <c r="C156" s="202">
        <f t="shared" si="13"/>
        <v>0</v>
      </c>
      <c r="D156" s="202">
        <f t="shared" si="13"/>
        <v>0</v>
      </c>
      <c r="E156" s="202">
        <f t="shared" si="13"/>
        <v>0.95</v>
      </c>
      <c r="F156" s="202">
        <f t="shared" si="13"/>
        <v>0</v>
      </c>
      <c r="G156" s="202">
        <f t="shared" si="13"/>
        <v>0</v>
      </c>
    </row>
    <row r="157" spans="1:7">
      <c r="A157" s="189">
        <f t="shared" si="9"/>
        <v>1.830000000000001</v>
      </c>
      <c r="B157" s="202">
        <f t="shared" si="13"/>
        <v>0.95</v>
      </c>
      <c r="C157" s="202">
        <f t="shared" si="13"/>
        <v>0</v>
      </c>
      <c r="D157" s="202">
        <f t="shared" si="13"/>
        <v>0</v>
      </c>
      <c r="E157" s="202">
        <f t="shared" si="13"/>
        <v>0.95</v>
      </c>
      <c r="F157" s="202">
        <f t="shared" si="13"/>
        <v>0</v>
      </c>
      <c r="G157" s="202">
        <f t="shared" si="13"/>
        <v>0</v>
      </c>
    </row>
    <row r="158" spans="1:7">
      <c r="A158" s="189">
        <f t="shared" si="9"/>
        <v>1.840000000000001</v>
      </c>
      <c r="B158" s="202">
        <f t="shared" si="13"/>
        <v>0.95</v>
      </c>
      <c r="C158" s="202">
        <f t="shared" si="13"/>
        <v>0</v>
      </c>
      <c r="D158" s="202">
        <f t="shared" si="13"/>
        <v>0</v>
      </c>
      <c r="E158" s="202">
        <f t="shared" si="13"/>
        <v>0.95</v>
      </c>
      <c r="F158" s="202">
        <f t="shared" si="13"/>
        <v>0</v>
      </c>
      <c r="G158" s="202">
        <f t="shared" si="13"/>
        <v>0</v>
      </c>
    </row>
    <row r="159" spans="1:7">
      <c r="A159" s="189">
        <f t="shared" si="9"/>
        <v>1.850000000000001</v>
      </c>
      <c r="B159" s="202">
        <f t="shared" si="13"/>
        <v>0.95</v>
      </c>
      <c r="C159" s="202">
        <f t="shared" si="13"/>
        <v>0</v>
      </c>
      <c r="D159" s="202">
        <f t="shared" si="13"/>
        <v>0</v>
      </c>
      <c r="E159" s="202">
        <f t="shared" si="13"/>
        <v>0.95</v>
      </c>
      <c r="F159" s="202">
        <f t="shared" si="13"/>
        <v>0</v>
      </c>
      <c r="G159" s="202">
        <f t="shared" si="13"/>
        <v>0</v>
      </c>
    </row>
    <row r="160" spans="1:7">
      <c r="A160" s="189">
        <f t="shared" si="9"/>
        <v>1.860000000000001</v>
      </c>
      <c r="B160" s="202">
        <f t="shared" si="13"/>
        <v>0.95</v>
      </c>
      <c r="C160" s="202">
        <f t="shared" si="13"/>
        <v>0</v>
      </c>
      <c r="D160" s="202">
        <f t="shared" si="13"/>
        <v>0</v>
      </c>
      <c r="E160" s="202">
        <f t="shared" si="13"/>
        <v>0.95</v>
      </c>
      <c r="F160" s="202">
        <f t="shared" si="13"/>
        <v>0</v>
      </c>
      <c r="G160" s="202">
        <f t="shared" si="13"/>
        <v>0</v>
      </c>
    </row>
    <row r="161" spans="1:7">
      <c r="A161" s="189">
        <f t="shared" si="9"/>
        <v>1.870000000000001</v>
      </c>
      <c r="B161" s="202">
        <f t="shared" si="13"/>
        <v>0.95</v>
      </c>
      <c r="C161" s="202">
        <f t="shared" si="13"/>
        <v>0</v>
      </c>
      <c r="D161" s="202">
        <f t="shared" si="13"/>
        <v>0</v>
      </c>
      <c r="E161" s="202">
        <f t="shared" si="13"/>
        <v>0.95</v>
      </c>
      <c r="F161" s="202">
        <f t="shared" si="13"/>
        <v>0</v>
      </c>
      <c r="G161" s="202">
        <f t="shared" si="13"/>
        <v>0</v>
      </c>
    </row>
    <row r="162" spans="1:7">
      <c r="A162" s="189">
        <f t="shared" si="9"/>
        <v>1.880000000000001</v>
      </c>
      <c r="B162" s="202">
        <f t="shared" si="13"/>
        <v>0.95</v>
      </c>
      <c r="C162" s="202">
        <f t="shared" si="13"/>
        <v>0</v>
      </c>
      <c r="D162" s="202">
        <f t="shared" si="13"/>
        <v>0</v>
      </c>
      <c r="E162" s="202">
        <f t="shared" si="13"/>
        <v>0.95</v>
      </c>
      <c r="F162" s="202">
        <f t="shared" si="13"/>
        <v>0</v>
      </c>
      <c r="G162" s="202">
        <f t="shared" si="13"/>
        <v>0</v>
      </c>
    </row>
    <row r="163" spans="1:7">
      <c r="A163" s="189">
        <f t="shared" si="9"/>
        <v>1.890000000000001</v>
      </c>
      <c r="B163" s="202">
        <f t="shared" si="13"/>
        <v>0.95</v>
      </c>
      <c r="C163" s="202">
        <f t="shared" si="13"/>
        <v>0</v>
      </c>
      <c r="D163" s="202">
        <f t="shared" si="13"/>
        <v>0</v>
      </c>
      <c r="E163" s="202">
        <f t="shared" si="13"/>
        <v>0.95</v>
      </c>
      <c r="F163" s="202">
        <f t="shared" si="13"/>
        <v>0</v>
      </c>
      <c r="G163" s="202">
        <f t="shared" si="13"/>
        <v>0</v>
      </c>
    </row>
    <row r="164" spans="1:7">
      <c r="A164" s="189">
        <f t="shared" ref="A164:A181" si="14">A163+$G$19</f>
        <v>1.900000000000001</v>
      </c>
      <c r="B164" s="202">
        <f t="shared" si="13"/>
        <v>0.95</v>
      </c>
      <c r="C164" s="202">
        <f t="shared" si="13"/>
        <v>0</v>
      </c>
      <c r="D164" s="202">
        <f t="shared" si="13"/>
        <v>0</v>
      </c>
      <c r="E164" s="202">
        <f t="shared" si="13"/>
        <v>0.95</v>
      </c>
      <c r="F164" s="202">
        <f t="shared" si="13"/>
        <v>0</v>
      </c>
      <c r="G164" s="202">
        <f t="shared" si="13"/>
        <v>0</v>
      </c>
    </row>
    <row r="165" spans="1:7">
      <c r="A165" s="189">
        <f t="shared" si="14"/>
        <v>1.910000000000001</v>
      </c>
      <c r="B165" s="202">
        <f t="shared" si="13"/>
        <v>0.95</v>
      </c>
      <c r="C165" s="202">
        <f t="shared" si="13"/>
        <v>0</v>
      </c>
      <c r="D165" s="202">
        <f t="shared" si="13"/>
        <v>0</v>
      </c>
      <c r="E165" s="202">
        <f t="shared" si="13"/>
        <v>0.95</v>
      </c>
      <c r="F165" s="202">
        <f t="shared" si="13"/>
        <v>0</v>
      </c>
      <c r="G165" s="202">
        <f t="shared" si="13"/>
        <v>0</v>
      </c>
    </row>
    <row r="166" spans="1:7">
      <c r="A166" s="189">
        <f t="shared" si="14"/>
        <v>1.920000000000001</v>
      </c>
      <c r="B166" s="202">
        <f t="shared" si="13"/>
        <v>0.95</v>
      </c>
      <c r="C166" s="202">
        <f t="shared" si="13"/>
        <v>0</v>
      </c>
      <c r="D166" s="202">
        <f t="shared" si="13"/>
        <v>0</v>
      </c>
      <c r="E166" s="202">
        <f t="shared" si="13"/>
        <v>0.95</v>
      </c>
      <c r="F166" s="202">
        <f t="shared" si="13"/>
        <v>0</v>
      </c>
      <c r="G166" s="202">
        <f t="shared" si="13"/>
        <v>0</v>
      </c>
    </row>
    <row r="167" spans="1:7">
      <c r="A167" s="189">
        <f t="shared" si="14"/>
        <v>1.930000000000001</v>
      </c>
      <c r="B167" s="202">
        <f t="shared" ref="B167:G181" si="15">IF($A167&lt;B$28,MAX(0,MIN($G$17,0.5+$G$18*($A167-B$26)/B$26)),MAX(0,MIN($G$17,0.5-$G$18*($A167-B$27)/B$27)))</f>
        <v>0.95</v>
      </c>
      <c r="C167" s="202">
        <f t="shared" si="15"/>
        <v>0</v>
      </c>
      <c r="D167" s="202">
        <f t="shared" si="15"/>
        <v>0</v>
      </c>
      <c r="E167" s="202">
        <f t="shared" si="15"/>
        <v>0.95</v>
      </c>
      <c r="F167" s="202">
        <f t="shared" si="15"/>
        <v>0</v>
      </c>
      <c r="G167" s="202">
        <f t="shared" si="15"/>
        <v>0</v>
      </c>
    </row>
    <row r="168" spans="1:7">
      <c r="A168" s="189">
        <f t="shared" si="14"/>
        <v>1.9400000000000011</v>
      </c>
      <c r="B168" s="202">
        <f t="shared" si="15"/>
        <v>0.95</v>
      </c>
      <c r="C168" s="202">
        <f t="shared" si="15"/>
        <v>0</v>
      </c>
      <c r="D168" s="202">
        <f t="shared" si="15"/>
        <v>0</v>
      </c>
      <c r="E168" s="202">
        <f t="shared" si="15"/>
        <v>0.95</v>
      </c>
      <c r="F168" s="202">
        <f t="shared" si="15"/>
        <v>0</v>
      </c>
      <c r="G168" s="202">
        <f t="shared" si="15"/>
        <v>0</v>
      </c>
    </row>
    <row r="169" spans="1:7">
      <c r="A169" s="189">
        <f t="shared" si="14"/>
        <v>1.9500000000000011</v>
      </c>
      <c r="B169" s="202">
        <f t="shared" si="15"/>
        <v>0.95</v>
      </c>
      <c r="C169" s="202">
        <f t="shared" si="15"/>
        <v>0</v>
      </c>
      <c r="D169" s="202">
        <f t="shared" si="15"/>
        <v>0</v>
      </c>
      <c r="E169" s="202">
        <f t="shared" si="15"/>
        <v>0.95</v>
      </c>
      <c r="F169" s="202">
        <f t="shared" si="15"/>
        <v>0</v>
      </c>
      <c r="G169" s="202">
        <f t="shared" si="15"/>
        <v>0</v>
      </c>
    </row>
    <row r="170" spans="1:7">
      <c r="A170" s="189">
        <f t="shared" si="14"/>
        <v>1.9600000000000011</v>
      </c>
      <c r="B170" s="202">
        <f t="shared" si="15"/>
        <v>0.94333333333332137</v>
      </c>
      <c r="C170" s="202">
        <f t="shared" si="15"/>
        <v>0</v>
      </c>
      <c r="D170" s="202">
        <f t="shared" si="15"/>
        <v>0</v>
      </c>
      <c r="E170" s="202">
        <f t="shared" si="15"/>
        <v>0.94333333333332137</v>
      </c>
      <c r="F170" s="202">
        <f t="shared" si="15"/>
        <v>0</v>
      </c>
      <c r="G170" s="202">
        <f t="shared" si="15"/>
        <v>0</v>
      </c>
    </row>
    <row r="171" spans="1:7">
      <c r="A171" s="189">
        <f t="shared" si="14"/>
        <v>1.9700000000000011</v>
      </c>
      <c r="B171" s="202">
        <f t="shared" si="15"/>
        <v>0.83249999999998803</v>
      </c>
      <c r="C171" s="202">
        <f t="shared" si="15"/>
        <v>0</v>
      </c>
      <c r="D171" s="202">
        <f t="shared" si="15"/>
        <v>0</v>
      </c>
      <c r="E171" s="202">
        <f t="shared" si="15"/>
        <v>0.83249999999998803</v>
      </c>
      <c r="F171" s="202">
        <f t="shared" si="15"/>
        <v>0</v>
      </c>
      <c r="G171" s="202">
        <f t="shared" si="15"/>
        <v>0</v>
      </c>
    </row>
    <row r="172" spans="1:7">
      <c r="A172" s="189">
        <f t="shared" si="14"/>
        <v>1.9800000000000011</v>
      </c>
      <c r="B172" s="202">
        <f t="shared" si="15"/>
        <v>0.72166666666665447</v>
      </c>
      <c r="C172" s="202">
        <f t="shared" si="15"/>
        <v>0</v>
      </c>
      <c r="D172" s="202">
        <f t="shared" si="15"/>
        <v>0</v>
      </c>
      <c r="E172" s="202">
        <f t="shared" si="15"/>
        <v>0.72166666666665447</v>
      </c>
      <c r="F172" s="202">
        <f t="shared" si="15"/>
        <v>0</v>
      </c>
      <c r="G172" s="202">
        <f t="shared" si="15"/>
        <v>0</v>
      </c>
    </row>
    <row r="173" spans="1:7">
      <c r="A173" s="189">
        <f t="shared" si="14"/>
        <v>1.9900000000000011</v>
      </c>
      <c r="B173" s="202">
        <f t="shared" si="15"/>
        <v>0.61083333333332113</v>
      </c>
      <c r="C173" s="202">
        <f t="shared" si="15"/>
        <v>0</v>
      </c>
      <c r="D173" s="202">
        <f t="shared" si="15"/>
        <v>0</v>
      </c>
      <c r="E173" s="202">
        <f t="shared" si="15"/>
        <v>0.61083333333332113</v>
      </c>
      <c r="F173" s="202">
        <f t="shared" si="15"/>
        <v>0</v>
      </c>
      <c r="G173" s="202">
        <f t="shared" si="15"/>
        <v>0</v>
      </c>
    </row>
    <row r="174" spans="1:7">
      <c r="A174" s="189">
        <f t="shared" si="14"/>
        <v>2.0000000000000009</v>
      </c>
      <c r="B174" s="202">
        <f t="shared" si="15"/>
        <v>0.49999999999999017</v>
      </c>
      <c r="C174" s="202">
        <f t="shared" si="15"/>
        <v>0</v>
      </c>
      <c r="D174" s="202">
        <f t="shared" si="15"/>
        <v>0</v>
      </c>
      <c r="E174" s="202">
        <f t="shared" si="15"/>
        <v>0.49999999999999017</v>
      </c>
      <c r="F174" s="202">
        <f t="shared" si="15"/>
        <v>0</v>
      </c>
      <c r="G174" s="202">
        <f t="shared" si="15"/>
        <v>0</v>
      </c>
    </row>
    <row r="175" spans="1:7">
      <c r="A175" s="189">
        <f t="shared" si="14"/>
        <v>2.0100000000000007</v>
      </c>
      <c r="B175" s="202">
        <f t="shared" si="15"/>
        <v>0.38916666666665922</v>
      </c>
      <c r="C175" s="202">
        <f t="shared" si="15"/>
        <v>0</v>
      </c>
      <c r="D175" s="202">
        <f t="shared" si="15"/>
        <v>0</v>
      </c>
      <c r="E175" s="202">
        <f t="shared" si="15"/>
        <v>0.38916666666665922</v>
      </c>
      <c r="F175" s="202">
        <f t="shared" si="15"/>
        <v>0</v>
      </c>
      <c r="G175" s="202">
        <f t="shared" si="15"/>
        <v>0</v>
      </c>
    </row>
    <row r="176" spans="1:7">
      <c r="A176" s="189">
        <f t="shared" si="14"/>
        <v>2.0200000000000005</v>
      </c>
      <c r="B176" s="202">
        <f t="shared" si="15"/>
        <v>0.27833333333332821</v>
      </c>
      <c r="C176" s="202">
        <f t="shared" si="15"/>
        <v>0</v>
      </c>
      <c r="D176" s="202">
        <f t="shared" si="15"/>
        <v>0</v>
      </c>
      <c r="E176" s="202">
        <f t="shared" si="15"/>
        <v>0.27833333333332821</v>
      </c>
      <c r="F176" s="202">
        <f t="shared" si="15"/>
        <v>0</v>
      </c>
      <c r="G176" s="202">
        <f t="shared" si="15"/>
        <v>0</v>
      </c>
    </row>
    <row r="177" spans="1:7">
      <c r="A177" s="189">
        <f t="shared" si="14"/>
        <v>2.0300000000000002</v>
      </c>
      <c r="B177" s="202">
        <f t="shared" si="15"/>
        <v>0.16749999999999726</v>
      </c>
      <c r="C177" s="202">
        <f t="shared" si="15"/>
        <v>0</v>
      </c>
      <c r="D177" s="202">
        <f t="shared" si="15"/>
        <v>0</v>
      </c>
      <c r="E177" s="202">
        <f t="shared" si="15"/>
        <v>0.16749999999999726</v>
      </c>
      <c r="F177" s="202">
        <f t="shared" si="15"/>
        <v>0</v>
      </c>
      <c r="G177" s="202">
        <f t="shared" si="15"/>
        <v>0</v>
      </c>
    </row>
    <row r="178" spans="1:7">
      <c r="A178" s="189">
        <f t="shared" si="14"/>
        <v>2.04</v>
      </c>
      <c r="B178" s="202">
        <f t="shared" si="15"/>
        <v>5.666666666666631E-2</v>
      </c>
      <c r="C178" s="202">
        <f t="shared" si="15"/>
        <v>0</v>
      </c>
      <c r="D178" s="202">
        <f t="shared" si="15"/>
        <v>0</v>
      </c>
      <c r="E178" s="202">
        <f t="shared" si="15"/>
        <v>5.666666666666631E-2</v>
      </c>
      <c r="F178" s="202">
        <f t="shared" si="15"/>
        <v>0</v>
      </c>
      <c r="G178" s="202">
        <f t="shared" si="15"/>
        <v>0</v>
      </c>
    </row>
    <row r="179" spans="1:7">
      <c r="A179" s="189">
        <f t="shared" si="14"/>
        <v>2.0499999999999998</v>
      </c>
      <c r="B179" s="202">
        <f t="shared" si="15"/>
        <v>0</v>
      </c>
      <c r="C179" s="202">
        <f t="shared" si="15"/>
        <v>0</v>
      </c>
      <c r="D179" s="202">
        <f t="shared" si="15"/>
        <v>0</v>
      </c>
      <c r="E179" s="202">
        <f t="shared" si="15"/>
        <v>0</v>
      </c>
      <c r="F179" s="202">
        <f t="shared" si="15"/>
        <v>0</v>
      </c>
      <c r="G179" s="202">
        <f t="shared" si="15"/>
        <v>0</v>
      </c>
    </row>
    <row r="180" spans="1:7">
      <c r="A180" s="189">
        <f t="shared" si="14"/>
        <v>2.0599999999999996</v>
      </c>
      <c r="B180" s="202">
        <f t="shared" si="15"/>
        <v>0</v>
      </c>
      <c r="C180" s="202">
        <f t="shared" si="15"/>
        <v>0</v>
      </c>
      <c r="D180" s="202">
        <f t="shared" si="15"/>
        <v>0</v>
      </c>
      <c r="E180" s="202">
        <f t="shared" si="15"/>
        <v>0</v>
      </c>
      <c r="F180" s="202">
        <f t="shared" si="15"/>
        <v>0</v>
      </c>
      <c r="G180" s="202">
        <f t="shared" si="15"/>
        <v>0</v>
      </c>
    </row>
    <row r="181" spans="1:7">
      <c r="A181" s="189">
        <f t="shared" si="14"/>
        <v>2.0699999999999994</v>
      </c>
      <c r="B181" s="202">
        <f t="shared" si="15"/>
        <v>0</v>
      </c>
      <c r="C181" s="202">
        <f t="shared" si="15"/>
        <v>0</v>
      </c>
      <c r="D181" s="202">
        <f t="shared" si="15"/>
        <v>0</v>
      </c>
      <c r="E181" s="202">
        <f t="shared" si="15"/>
        <v>0</v>
      </c>
      <c r="F181" s="202">
        <f t="shared" si="15"/>
        <v>0</v>
      </c>
      <c r="G181" s="202">
        <f t="shared" si="15"/>
        <v>0</v>
      </c>
    </row>
  </sheetData>
  <sortState columnSort="1" ref="B25:G28">
    <sortCondition ref="B25:G25"/>
  </sortState>
  <phoneticPr fontId="2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1"/>
  <sheetViews>
    <sheetView workbookViewId="0">
      <selection activeCell="C41" sqref="C41"/>
    </sheetView>
  </sheetViews>
  <sheetFormatPr baseColWidth="10" defaultColWidth="8.83203125" defaultRowHeight="12"/>
  <sheetData>
    <row r="1" spans="1:7">
      <c r="A1" s="133" t="s">
        <v>36</v>
      </c>
    </row>
    <row r="2" spans="1:7">
      <c r="C2" t="s">
        <v>69</v>
      </c>
    </row>
    <row r="3" spans="1:7">
      <c r="B3" t="s">
        <v>332</v>
      </c>
      <c r="C3" t="s">
        <v>6</v>
      </c>
      <c r="D3" t="s">
        <v>7</v>
      </c>
      <c r="E3" t="s">
        <v>8</v>
      </c>
      <c r="F3" t="s">
        <v>9</v>
      </c>
      <c r="G3" t="s">
        <v>70</v>
      </c>
    </row>
    <row r="4" spans="1:7">
      <c r="B4">
        <v>0.6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B5">
        <v>0.61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B6">
        <v>0.62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B7">
        <v>0.63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B8">
        <v>0.64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B9">
        <v>0.65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B10">
        <v>0.66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B11">
        <v>0.67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B12">
        <v>0.68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B13">
        <v>0.69000000000000006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B14">
        <v>0.70000000000000007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B15">
        <v>0.71000000000000008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B16">
        <v>0.72000000000000008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2:7">
      <c r="B17">
        <v>0.73000000000000009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2:7">
      <c r="B18">
        <v>0.7400000000000001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2:7">
      <c r="B19">
        <v>0.75000000000000011</v>
      </c>
      <c r="C19">
        <v>0.20833333333333637</v>
      </c>
      <c r="D19">
        <v>0</v>
      </c>
      <c r="E19">
        <v>0</v>
      </c>
      <c r="F19">
        <v>0</v>
      </c>
      <c r="G19">
        <v>0</v>
      </c>
    </row>
    <row r="20" spans="2:7">
      <c r="B20">
        <v>0.76000000000000012</v>
      </c>
      <c r="C20">
        <v>0.50000000000000322</v>
      </c>
      <c r="D20">
        <v>0</v>
      </c>
      <c r="E20">
        <v>0</v>
      </c>
      <c r="F20">
        <v>0</v>
      </c>
      <c r="G20">
        <v>0</v>
      </c>
    </row>
    <row r="21" spans="2:7">
      <c r="B21">
        <v>0.77000000000000013</v>
      </c>
      <c r="C21">
        <v>0.79166666666667007</v>
      </c>
      <c r="D21">
        <v>0</v>
      </c>
      <c r="E21">
        <v>0</v>
      </c>
      <c r="F21">
        <v>0</v>
      </c>
      <c r="G21">
        <v>0</v>
      </c>
    </row>
    <row r="22" spans="2:7">
      <c r="B22">
        <v>0.78000000000000014</v>
      </c>
      <c r="C22">
        <v>0.95</v>
      </c>
      <c r="D22">
        <v>0</v>
      </c>
      <c r="E22">
        <v>0</v>
      </c>
      <c r="F22">
        <v>0</v>
      </c>
      <c r="G22">
        <v>0</v>
      </c>
    </row>
    <row r="23" spans="2:7">
      <c r="B23">
        <v>0.79000000000000015</v>
      </c>
      <c r="C23">
        <v>0.95</v>
      </c>
      <c r="D23">
        <v>0</v>
      </c>
      <c r="E23">
        <v>0</v>
      </c>
      <c r="F23">
        <v>0</v>
      </c>
      <c r="G23">
        <v>0</v>
      </c>
    </row>
    <row r="24" spans="2:7">
      <c r="B24">
        <v>0.80000000000000016</v>
      </c>
      <c r="C24">
        <v>0.95</v>
      </c>
      <c r="D24">
        <v>0</v>
      </c>
      <c r="E24">
        <v>0</v>
      </c>
      <c r="F24">
        <v>0</v>
      </c>
      <c r="G24">
        <v>0</v>
      </c>
    </row>
    <row r="25" spans="2:7">
      <c r="B25">
        <v>0.81000000000000016</v>
      </c>
      <c r="C25">
        <v>0.95</v>
      </c>
      <c r="D25">
        <v>0</v>
      </c>
      <c r="E25">
        <v>0</v>
      </c>
      <c r="F25">
        <v>0</v>
      </c>
      <c r="G25">
        <v>0</v>
      </c>
    </row>
    <row r="26" spans="2:7">
      <c r="B26">
        <v>0.82000000000000017</v>
      </c>
      <c r="C26">
        <v>0.95</v>
      </c>
      <c r="D26">
        <v>0</v>
      </c>
      <c r="E26">
        <v>0</v>
      </c>
      <c r="F26">
        <v>0</v>
      </c>
      <c r="G26">
        <v>0</v>
      </c>
    </row>
    <row r="27" spans="2:7">
      <c r="B27">
        <v>0.83000000000000018</v>
      </c>
      <c r="C27">
        <v>0.95</v>
      </c>
      <c r="D27">
        <v>0</v>
      </c>
      <c r="E27">
        <v>0</v>
      </c>
      <c r="F27">
        <v>0</v>
      </c>
      <c r="G27">
        <v>0</v>
      </c>
    </row>
    <row r="28" spans="2:7">
      <c r="B28">
        <v>0.84000000000000019</v>
      </c>
      <c r="C28">
        <v>0.95</v>
      </c>
      <c r="D28">
        <v>0</v>
      </c>
      <c r="E28">
        <v>0</v>
      </c>
      <c r="F28">
        <v>0</v>
      </c>
      <c r="G28">
        <v>0</v>
      </c>
    </row>
    <row r="29" spans="2:7">
      <c r="B29">
        <v>0.8500000000000002</v>
      </c>
      <c r="C29">
        <v>0.95</v>
      </c>
      <c r="D29">
        <v>0</v>
      </c>
      <c r="E29">
        <v>0</v>
      </c>
      <c r="F29">
        <v>0</v>
      </c>
      <c r="G29">
        <v>0</v>
      </c>
    </row>
    <row r="30" spans="2:7">
      <c r="B30">
        <v>0.86000000000000021</v>
      </c>
      <c r="C30">
        <v>0.95</v>
      </c>
      <c r="D30">
        <v>0</v>
      </c>
      <c r="E30">
        <v>0</v>
      </c>
      <c r="F30">
        <v>0</v>
      </c>
      <c r="G30">
        <v>0</v>
      </c>
    </row>
    <row r="31" spans="2:7">
      <c r="B31">
        <v>0.87000000000000022</v>
      </c>
      <c r="C31">
        <v>0.95</v>
      </c>
      <c r="D31">
        <v>0</v>
      </c>
      <c r="E31">
        <v>0</v>
      </c>
      <c r="F31">
        <v>0</v>
      </c>
      <c r="G31">
        <v>0</v>
      </c>
    </row>
    <row r="32" spans="2:7">
      <c r="B32">
        <v>0.88000000000000023</v>
      </c>
      <c r="C32">
        <v>0.95</v>
      </c>
      <c r="D32">
        <v>0</v>
      </c>
      <c r="E32">
        <v>0</v>
      </c>
      <c r="F32">
        <v>0</v>
      </c>
      <c r="G32">
        <v>0</v>
      </c>
    </row>
    <row r="33" spans="2:7">
      <c r="B33">
        <v>0.89000000000000024</v>
      </c>
      <c r="C33">
        <v>0.95</v>
      </c>
      <c r="D33">
        <v>0</v>
      </c>
      <c r="E33">
        <v>0</v>
      </c>
      <c r="F33">
        <v>0</v>
      </c>
      <c r="G33">
        <v>0</v>
      </c>
    </row>
    <row r="34" spans="2:7">
      <c r="B34">
        <v>0.90000000000000024</v>
      </c>
      <c r="C34">
        <v>0.95</v>
      </c>
      <c r="D34">
        <v>0</v>
      </c>
      <c r="E34">
        <v>0</v>
      </c>
      <c r="F34">
        <v>0</v>
      </c>
      <c r="G34">
        <v>0</v>
      </c>
    </row>
    <row r="35" spans="2:7">
      <c r="B35">
        <v>0.91000000000000025</v>
      </c>
      <c r="C35">
        <v>0.95</v>
      </c>
      <c r="D35">
        <v>9.0138674884443326E-2</v>
      </c>
      <c r="E35">
        <v>0</v>
      </c>
      <c r="F35">
        <v>0</v>
      </c>
      <c r="G35">
        <v>9.0138674884443326E-2</v>
      </c>
    </row>
    <row r="36" spans="2:7">
      <c r="B36">
        <v>0.92000000000000026</v>
      </c>
      <c r="C36">
        <v>0.95</v>
      </c>
      <c r="D36">
        <v>0.32922444786852156</v>
      </c>
      <c r="E36">
        <v>0</v>
      </c>
      <c r="F36">
        <v>0</v>
      </c>
      <c r="G36">
        <v>0.32922444786852156</v>
      </c>
    </row>
    <row r="37" spans="2:7">
      <c r="B37">
        <v>0.93000000000000027</v>
      </c>
      <c r="C37">
        <v>0.95</v>
      </c>
      <c r="D37">
        <v>0.56831022085259986</v>
      </c>
      <c r="E37">
        <v>0</v>
      </c>
      <c r="F37">
        <v>0</v>
      </c>
      <c r="G37">
        <v>0.56831022085259986</v>
      </c>
    </row>
    <row r="38" spans="2:7">
      <c r="B38">
        <v>0.94000000000000028</v>
      </c>
      <c r="C38">
        <v>0.95</v>
      </c>
      <c r="D38">
        <v>0.80739599383667815</v>
      </c>
      <c r="E38">
        <v>0</v>
      </c>
      <c r="F38">
        <v>0</v>
      </c>
      <c r="G38">
        <v>0.80739599383667815</v>
      </c>
    </row>
    <row r="39" spans="2:7">
      <c r="B39">
        <v>0.95000000000000029</v>
      </c>
      <c r="C39">
        <v>0.95</v>
      </c>
      <c r="D39">
        <v>0.95</v>
      </c>
      <c r="E39">
        <v>0</v>
      </c>
      <c r="F39">
        <v>0</v>
      </c>
      <c r="G39">
        <v>0.95</v>
      </c>
    </row>
    <row r="40" spans="2:7">
      <c r="B40">
        <v>0.9600000000000003</v>
      </c>
      <c r="C40">
        <v>0.8888888888888834</v>
      </c>
      <c r="D40">
        <v>0.95</v>
      </c>
      <c r="E40">
        <v>0</v>
      </c>
      <c r="F40">
        <v>0</v>
      </c>
      <c r="G40">
        <v>0.95</v>
      </c>
    </row>
    <row r="41" spans="2:7">
      <c r="B41">
        <v>0.97000000000000031</v>
      </c>
      <c r="C41">
        <v>0.66203703703703143</v>
      </c>
      <c r="D41">
        <v>0.95</v>
      </c>
      <c r="E41">
        <v>0</v>
      </c>
      <c r="F41">
        <v>0</v>
      </c>
      <c r="G41">
        <v>0.95</v>
      </c>
    </row>
    <row r="42" spans="2:7">
      <c r="B42">
        <v>0.98000000000000032</v>
      </c>
      <c r="C42">
        <v>0.43518518518517935</v>
      </c>
      <c r="D42">
        <v>0.95</v>
      </c>
      <c r="E42">
        <v>0</v>
      </c>
      <c r="F42">
        <v>0</v>
      </c>
      <c r="G42">
        <v>0.95</v>
      </c>
    </row>
    <row r="43" spans="2:7">
      <c r="B43">
        <v>0.99000000000000032</v>
      </c>
      <c r="C43">
        <v>0.20833333333332738</v>
      </c>
      <c r="D43">
        <v>0.95</v>
      </c>
      <c r="E43">
        <v>0</v>
      </c>
      <c r="F43">
        <v>0</v>
      </c>
      <c r="G43">
        <v>0.95</v>
      </c>
    </row>
    <row r="44" spans="2:7">
      <c r="B44">
        <v>1.0000000000000002</v>
      </c>
      <c r="C44">
        <v>0</v>
      </c>
      <c r="D44">
        <v>0.95</v>
      </c>
      <c r="E44">
        <v>0</v>
      </c>
      <c r="F44">
        <v>0</v>
      </c>
      <c r="G44">
        <v>0.95</v>
      </c>
    </row>
    <row r="45" spans="2:7">
      <c r="B45">
        <v>1.0100000000000002</v>
      </c>
      <c r="C45">
        <v>0</v>
      </c>
      <c r="D45">
        <v>0.95</v>
      </c>
      <c r="E45">
        <v>0</v>
      </c>
      <c r="F45">
        <v>0</v>
      </c>
      <c r="G45">
        <v>0.95</v>
      </c>
    </row>
    <row r="46" spans="2:7">
      <c r="B46">
        <v>1.0200000000000002</v>
      </c>
      <c r="C46">
        <v>0</v>
      </c>
      <c r="D46">
        <v>0.95</v>
      </c>
      <c r="E46">
        <v>0</v>
      </c>
      <c r="F46">
        <v>0</v>
      </c>
      <c r="G46">
        <v>0.95</v>
      </c>
    </row>
    <row r="47" spans="2:7">
      <c r="B47">
        <v>1.0300000000000002</v>
      </c>
      <c r="C47">
        <v>0</v>
      </c>
      <c r="D47">
        <v>0.95</v>
      </c>
      <c r="E47">
        <v>0</v>
      </c>
      <c r="F47">
        <v>0</v>
      </c>
      <c r="G47">
        <v>0.95</v>
      </c>
    </row>
    <row r="48" spans="2:7">
      <c r="B48">
        <v>1.0400000000000003</v>
      </c>
      <c r="C48">
        <v>0</v>
      </c>
      <c r="D48">
        <v>0.95</v>
      </c>
      <c r="E48">
        <v>0</v>
      </c>
      <c r="F48">
        <v>0</v>
      </c>
      <c r="G48">
        <v>0.95</v>
      </c>
    </row>
    <row r="49" spans="2:7">
      <c r="B49">
        <v>1.0500000000000003</v>
      </c>
      <c r="C49">
        <v>0</v>
      </c>
      <c r="D49">
        <v>0.95</v>
      </c>
      <c r="E49">
        <v>0</v>
      </c>
      <c r="F49">
        <v>0</v>
      </c>
      <c r="G49">
        <v>0.95</v>
      </c>
    </row>
    <row r="50" spans="2:7">
      <c r="B50">
        <v>1.0600000000000003</v>
      </c>
      <c r="C50">
        <v>0</v>
      </c>
      <c r="D50">
        <v>0.95</v>
      </c>
      <c r="E50">
        <v>0</v>
      </c>
      <c r="F50">
        <v>0</v>
      </c>
      <c r="G50">
        <v>0.95</v>
      </c>
    </row>
    <row r="51" spans="2:7">
      <c r="B51">
        <v>1.0700000000000003</v>
      </c>
      <c r="C51">
        <v>0</v>
      </c>
      <c r="D51">
        <v>0.95</v>
      </c>
      <c r="E51">
        <v>0</v>
      </c>
      <c r="F51">
        <v>0</v>
      </c>
      <c r="G51">
        <v>0.95</v>
      </c>
    </row>
    <row r="52" spans="2:7">
      <c r="B52">
        <v>1.0800000000000003</v>
      </c>
      <c r="C52">
        <v>0</v>
      </c>
      <c r="D52">
        <v>0.95</v>
      </c>
      <c r="E52">
        <v>0</v>
      </c>
      <c r="F52">
        <v>0</v>
      </c>
      <c r="G52">
        <v>0.95</v>
      </c>
    </row>
    <row r="53" spans="2:7">
      <c r="B53">
        <v>1.0900000000000003</v>
      </c>
      <c r="C53">
        <v>0</v>
      </c>
      <c r="D53">
        <v>0.95</v>
      </c>
      <c r="E53">
        <v>0</v>
      </c>
      <c r="F53">
        <v>0</v>
      </c>
      <c r="G53">
        <v>0.95</v>
      </c>
    </row>
    <row r="54" spans="2:7">
      <c r="B54">
        <v>1.1000000000000003</v>
      </c>
      <c r="C54">
        <v>0</v>
      </c>
      <c r="D54">
        <v>0.95</v>
      </c>
      <c r="E54">
        <v>0</v>
      </c>
      <c r="F54">
        <v>0</v>
      </c>
      <c r="G54">
        <v>0.95</v>
      </c>
    </row>
    <row r="55" spans="2:7">
      <c r="B55">
        <v>1.1100000000000003</v>
      </c>
      <c r="C55">
        <v>0</v>
      </c>
      <c r="D55">
        <v>0.95</v>
      </c>
      <c r="E55">
        <v>8.7559937733608484E-2</v>
      </c>
      <c r="F55">
        <v>0</v>
      </c>
      <c r="G55">
        <v>0.95</v>
      </c>
    </row>
    <row r="56" spans="2:7">
      <c r="B56">
        <v>1.1200000000000003</v>
      </c>
      <c r="C56">
        <v>0</v>
      </c>
      <c r="D56">
        <v>0.95</v>
      </c>
      <c r="E56">
        <v>0.28354396119667413</v>
      </c>
      <c r="F56">
        <v>0</v>
      </c>
      <c r="G56">
        <v>0.95</v>
      </c>
    </row>
    <row r="57" spans="2:7">
      <c r="B57">
        <v>1.1300000000000003</v>
      </c>
      <c r="C57">
        <v>0</v>
      </c>
      <c r="D57">
        <v>0.95</v>
      </c>
      <c r="E57">
        <v>0.47952798465973973</v>
      </c>
      <c r="F57">
        <v>0</v>
      </c>
      <c r="G57">
        <v>0.95</v>
      </c>
    </row>
    <row r="58" spans="2:7">
      <c r="B58">
        <v>1.1400000000000003</v>
      </c>
      <c r="C58">
        <v>0</v>
      </c>
      <c r="D58">
        <v>0.95</v>
      </c>
      <c r="E58">
        <v>0.67551200812280543</v>
      </c>
      <c r="F58">
        <v>0</v>
      </c>
      <c r="G58">
        <v>0.95</v>
      </c>
    </row>
    <row r="59" spans="2:7">
      <c r="B59">
        <v>1.1500000000000004</v>
      </c>
      <c r="C59">
        <v>0</v>
      </c>
      <c r="D59">
        <v>0.95</v>
      </c>
      <c r="E59">
        <v>0.87149603158587108</v>
      </c>
      <c r="F59">
        <v>0</v>
      </c>
      <c r="G59">
        <v>0.95</v>
      </c>
    </row>
    <row r="60" spans="2:7">
      <c r="B60">
        <v>1.1600000000000004</v>
      </c>
      <c r="C60">
        <v>0</v>
      </c>
      <c r="D60">
        <v>0.95</v>
      </c>
      <c r="E60">
        <v>0.95</v>
      </c>
      <c r="F60">
        <v>0</v>
      </c>
      <c r="G60">
        <v>0.95</v>
      </c>
    </row>
    <row r="61" spans="2:7">
      <c r="B61">
        <v>1.1700000000000004</v>
      </c>
      <c r="C61">
        <v>0</v>
      </c>
      <c r="D61">
        <v>0.90986132511555895</v>
      </c>
      <c r="E61">
        <v>0.95</v>
      </c>
      <c r="F61">
        <v>0</v>
      </c>
      <c r="G61">
        <v>0.95</v>
      </c>
    </row>
    <row r="62" spans="2:7">
      <c r="B62">
        <v>1.1800000000000004</v>
      </c>
      <c r="C62">
        <v>0</v>
      </c>
      <c r="D62">
        <v>0.72390572390572028</v>
      </c>
      <c r="E62">
        <v>0.95</v>
      </c>
      <c r="F62">
        <v>0</v>
      </c>
      <c r="G62">
        <v>0.95</v>
      </c>
    </row>
    <row r="63" spans="2:7">
      <c r="B63">
        <v>1.1900000000000004</v>
      </c>
      <c r="C63">
        <v>0</v>
      </c>
      <c r="D63">
        <v>0.53795012269588172</v>
      </c>
      <c r="E63">
        <v>0.95</v>
      </c>
      <c r="F63">
        <v>0</v>
      </c>
      <c r="G63">
        <v>0.95</v>
      </c>
    </row>
    <row r="64" spans="2:7">
      <c r="B64">
        <v>1.2000000000000004</v>
      </c>
      <c r="C64">
        <v>0</v>
      </c>
      <c r="D64">
        <v>0.3519945214860431</v>
      </c>
      <c r="E64">
        <v>0.95</v>
      </c>
      <c r="F64">
        <v>0</v>
      </c>
      <c r="G64">
        <v>0.95</v>
      </c>
    </row>
    <row r="65" spans="2:7">
      <c r="B65">
        <v>1.2100000000000004</v>
      </c>
      <c r="C65">
        <v>0</v>
      </c>
      <c r="D65">
        <v>0.16603892027620448</v>
      </c>
      <c r="E65">
        <v>0.95</v>
      </c>
      <c r="F65">
        <v>0</v>
      </c>
      <c r="G65">
        <v>0.95</v>
      </c>
    </row>
    <row r="66" spans="2:7">
      <c r="B66">
        <v>1.2200000000000004</v>
      </c>
      <c r="C66">
        <v>0</v>
      </c>
      <c r="D66">
        <v>0</v>
      </c>
      <c r="E66">
        <v>0.95</v>
      </c>
      <c r="F66">
        <v>0</v>
      </c>
      <c r="G66">
        <v>0.95</v>
      </c>
    </row>
    <row r="67" spans="2:7">
      <c r="B67">
        <v>1.2300000000000004</v>
      </c>
      <c r="C67">
        <v>0</v>
      </c>
      <c r="D67">
        <v>0</v>
      </c>
      <c r="E67">
        <v>0.95</v>
      </c>
      <c r="F67">
        <v>0</v>
      </c>
      <c r="G67">
        <v>0.95</v>
      </c>
    </row>
    <row r="68" spans="2:7">
      <c r="B68">
        <v>1.2400000000000004</v>
      </c>
      <c r="C68">
        <v>0</v>
      </c>
      <c r="D68">
        <v>0</v>
      </c>
      <c r="E68">
        <v>0.95</v>
      </c>
      <c r="F68">
        <v>0</v>
      </c>
      <c r="G68">
        <v>0.95</v>
      </c>
    </row>
    <row r="69" spans="2:7">
      <c r="B69">
        <v>1.2500000000000004</v>
      </c>
      <c r="C69">
        <v>0</v>
      </c>
      <c r="D69">
        <v>0</v>
      </c>
      <c r="E69">
        <v>0.95</v>
      </c>
      <c r="F69">
        <v>0</v>
      </c>
      <c r="G69">
        <v>0.95</v>
      </c>
    </row>
    <row r="70" spans="2:7">
      <c r="B70">
        <v>1.2600000000000005</v>
      </c>
      <c r="C70">
        <v>0</v>
      </c>
      <c r="D70">
        <v>0</v>
      </c>
      <c r="E70">
        <v>0.95</v>
      </c>
      <c r="F70">
        <v>0</v>
      </c>
      <c r="G70">
        <v>0.95</v>
      </c>
    </row>
    <row r="71" spans="2:7">
      <c r="B71">
        <v>1.2700000000000005</v>
      </c>
      <c r="C71">
        <v>0</v>
      </c>
      <c r="D71">
        <v>0</v>
      </c>
      <c r="E71">
        <v>0.95</v>
      </c>
      <c r="F71">
        <v>0</v>
      </c>
      <c r="G71">
        <v>0.95</v>
      </c>
    </row>
    <row r="72" spans="2:7">
      <c r="B72">
        <v>1.2800000000000005</v>
      </c>
      <c r="C72">
        <v>0</v>
      </c>
      <c r="D72">
        <v>0</v>
      </c>
      <c r="E72">
        <v>0.95</v>
      </c>
      <c r="F72">
        <v>0</v>
      </c>
      <c r="G72">
        <v>0.95</v>
      </c>
    </row>
    <row r="73" spans="2:7">
      <c r="B73">
        <v>1.2900000000000005</v>
      </c>
      <c r="C73">
        <v>0</v>
      </c>
      <c r="D73">
        <v>0</v>
      </c>
      <c r="E73">
        <v>0.95</v>
      </c>
      <c r="F73">
        <v>0</v>
      </c>
      <c r="G73">
        <v>0.95</v>
      </c>
    </row>
    <row r="74" spans="2:7">
      <c r="B74">
        <v>1.3000000000000005</v>
      </c>
      <c r="C74">
        <v>0</v>
      </c>
      <c r="D74">
        <v>0</v>
      </c>
      <c r="E74">
        <v>0.95</v>
      </c>
      <c r="F74">
        <v>0</v>
      </c>
      <c r="G74">
        <v>0.95</v>
      </c>
    </row>
    <row r="75" spans="2:7">
      <c r="B75">
        <v>1.3100000000000005</v>
      </c>
      <c r="C75">
        <v>0</v>
      </c>
      <c r="D75">
        <v>0</v>
      </c>
      <c r="E75">
        <v>0.95</v>
      </c>
      <c r="F75">
        <v>0</v>
      </c>
      <c r="G75">
        <v>0.95</v>
      </c>
    </row>
    <row r="76" spans="2:7">
      <c r="B76">
        <v>1.3200000000000005</v>
      </c>
      <c r="C76">
        <v>0</v>
      </c>
      <c r="D76">
        <v>0</v>
      </c>
      <c r="E76">
        <v>0.95</v>
      </c>
      <c r="F76">
        <v>0</v>
      </c>
      <c r="G76">
        <v>0.95</v>
      </c>
    </row>
    <row r="77" spans="2:7">
      <c r="B77">
        <v>1.3300000000000005</v>
      </c>
      <c r="C77">
        <v>0</v>
      </c>
      <c r="D77">
        <v>0</v>
      </c>
      <c r="E77">
        <v>0.95</v>
      </c>
      <c r="F77">
        <v>0</v>
      </c>
      <c r="G77">
        <v>0.95</v>
      </c>
    </row>
    <row r="78" spans="2:7">
      <c r="B78">
        <v>1.3400000000000005</v>
      </c>
      <c r="C78">
        <v>0</v>
      </c>
      <c r="D78">
        <v>0</v>
      </c>
      <c r="E78">
        <v>0.95</v>
      </c>
      <c r="F78">
        <v>0</v>
      </c>
      <c r="G78">
        <v>0.95</v>
      </c>
    </row>
    <row r="79" spans="2:7">
      <c r="B79">
        <v>1.3500000000000005</v>
      </c>
      <c r="C79">
        <v>0</v>
      </c>
      <c r="D79">
        <v>0</v>
      </c>
      <c r="E79">
        <v>0.95</v>
      </c>
      <c r="F79">
        <v>2.142665400724475E-2</v>
      </c>
      <c r="G79">
        <v>0.95</v>
      </c>
    </row>
    <row r="80" spans="2:7">
      <c r="B80">
        <v>1.3600000000000005</v>
      </c>
      <c r="C80">
        <v>0</v>
      </c>
      <c r="D80">
        <v>0</v>
      </c>
      <c r="E80">
        <v>0.95</v>
      </c>
      <c r="F80">
        <v>0.18207919712334786</v>
      </c>
      <c r="G80">
        <v>0.95</v>
      </c>
    </row>
    <row r="81" spans="2:7">
      <c r="B81">
        <v>1.3700000000000006</v>
      </c>
      <c r="C81">
        <v>0</v>
      </c>
      <c r="D81">
        <v>0</v>
      </c>
      <c r="E81">
        <v>0.95</v>
      </c>
      <c r="F81">
        <v>0.34273174023945097</v>
      </c>
      <c r="G81">
        <v>0.95</v>
      </c>
    </row>
    <row r="82" spans="2:7">
      <c r="B82">
        <v>1.3800000000000006</v>
      </c>
      <c r="C82">
        <v>0</v>
      </c>
      <c r="D82">
        <v>0</v>
      </c>
      <c r="E82">
        <v>0.95</v>
      </c>
      <c r="F82">
        <v>0.50338428335555407</v>
      </c>
      <c r="G82">
        <v>0.95</v>
      </c>
    </row>
    <row r="83" spans="2:7">
      <c r="B83">
        <v>1.3900000000000006</v>
      </c>
      <c r="C83">
        <v>0</v>
      </c>
      <c r="D83">
        <v>0</v>
      </c>
      <c r="E83">
        <v>0.95</v>
      </c>
      <c r="F83">
        <v>0.66403682647165718</v>
      </c>
      <c r="G83">
        <v>0.95</v>
      </c>
    </row>
    <row r="84" spans="2:7">
      <c r="B84">
        <v>1.4000000000000006</v>
      </c>
      <c r="C84">
        <v>0</v>
      </c>
      <c r="D84">
        <v>0</v>
      </c>
      <c r="E84">
        <v>0.95</v>
      </c>
      <c r="F84">
        <v>0.82468936958776029</v>
      </c>
      <c r="G84">
        <v>0.95</v>
      </c>
    </row>
    <row r="85" spans="2:7">
      <c r="B85">
        <v>1.4100000000000006</v>
      </c>
      <c r="C85">
        <v>0</v>
      </c>
      <c r="D85">
        <v>0</v>
      </c>
      <c r="E85">
        <v>0.95</v>
      </c>
      <c r="F85">
        <v>0.95</v>
      </c>
      <c r="G85">
        <v>0.95</v>
      </c>
    </row>
    <row r="86" spans="2:7">
      <c r="B86">
        <v>1.4200000000000006</v>
      </c>
      <c r="C86">
        <v>0</v>
      </c>
      <c r="D86">
        <v>0</v>
      </c>
      <c r="E86">
        <v>0.95</v>
      </c>
      <c r="F86">
        <v>0.95</v>
      </c>
      <c r="G86">
        <v>0.95</v>
      </c>
    </row>
    <row r="87" spans="2:7">
      <c r="B87">
        <v>1.4300000000000006</v>
      </c>
      <c r="C87">
        <v>0</v>
      </c>
      <c r="D87">
        <v>0</v>
      </c>
      <c r="E87">
        <v>0.86888805705237504</v>
      </c>
      <c r="F87">
        <v>0.95</v>
      </c>
      <c r="G87">
        <v>0.95</v>
      </c>
    </row>
    <row r="88" spans="2:7">
      <c r="B88">
        <v>1.4400000000000006</v>
      </c>
      <c r="C88">
        <v>0</v>
      </c>
      <c r="D88">
        <v>0</v>
      </c>
      <c r="E88">
        <v>0.71645603880332398</v>
      </c>
      <c r="F88">
        <v>0.95</v>
      </c>
      <c r="G88">
        <v>0.95</v>
      </c>
    </row>
    <row r="89" spans="2:7">
      <c r="B89">
        <v>1.4500000000000006</v>
      </c>
      <c r="C89">
        <v>0</v>
      </c>
      <c r="D89">
        <v>0</v>
      </c>
      <c r="E89">
        <v>0.56402402055427292</v>
      </c>
      <c r="F89">
        <v>0.95</v>
      </c>
      <c r="G89">
        <v>0.95</v>
      </c>
    </row>
    <row r="90" spans="2:7">
      <c r="B90">
        <v>1.4600000000000006</v>
      </c>
      <c r="C90">
        <v>0</v>
      </c>
      <c r="D90">
        <v>0</v>
      </c>
      <c r="E90">
        <v>0.41159200230522186</v>
      </c>
      <c r="F90">
        <v>0.95</v>
      </c>
      <c r="G90">
        <v>0.95</v>
      </c>
    </row>
    <row r="91" spans="2:7">
      <c r="B91">
        <v>1.4700000000000006</v>
      </c>
      <c r="C91">
        <v>0</v>
      </c>
      <c r="D91">
        <v>0</v>
      </c>
      <c r="E91">
        <v>0.2591599840561708</v>
      </c>
      <c r="F91">
        <v>0.95</v>
      </c>
      <c r="G91">
        <v>0.95</v>
      </c>
    </row>
    <row r="92" spans="2:7">
      <c r="B92">
        <v>1.4800000000000006</v>
      </c>
      <c r="C92">
        <v>0</v>
      </c>
      <c r="D92">
        <v>0</v>
      </c>
      <c r="E92">
        <v>0.1067279658071198</v>
      </c>
      <c r="F92">
        <v>0.95</v>
      </c>
      <c r="G92">
        <v>0.95</v>
      </c>
    </row>
    <row r="93" spans="2:7">
      <c r="B93">
        <v>1.4900000000000007</v>
      </c>
      <c r="C93">
        <v>0</v>
      </c>
      <c r="D93">
        <v>0</v>
      </c>
      <c r="E93">
        <v>0</v>
      </c>
      <c r="F93">
        <v>0.95</v>
      </c>
      <c r="G93">
        <v>0.95</v>
      </c>
    </row>
    <row r="94" spans="2:7">
      <c r="B94">
        <v>1.5000000000000007</v>
      </c>
      <c r="C94">
        <v>0</v>
      </c>
      <c r="D94">
        <v>0</v>
      </c>
      <c r="E94">
        <v>0</v>
      </c>
      <c r="F94">
        <v>0.95</v>
      </c>
      <c r="G94">
        <v>0.95</v>
      </c>
    </row>
    <row r="95" spans="2:7">
      <c r="B95">
        <v>1.5100000000000007</v>
      </c>
      <c r="C95">
        <v>0</v>
      </c>
      <c r="D95">
        <v>0</v>
      </c>
      <c r="E95">
        <v>0</v>
      </c>
      <c r="F95">
        <v>0.95</v>
      </c>
      <c r="G95">
        <v>0.95</v>
      </c>
    </row>
    <row r="96" spans="2:7">
      <c r="B96">
        <v>1.5200000000000007</v>
      </c>
      <c r="C96">
        <v>0</v>
      </c>
      <c r="D96">
        <v>0</v>
      </c>
      <c r="E96">
        <v>0</v>
      </c>
      <c r="F96">
        <v>0.95</v>
      </c>
      <c r="G96">
        <v>0.95</v>
      </c>
    </row>
    <row r="97" spans="2:7">
      <c r="B97">
        <v>1.5300000000000007</v>
      </c>
      <c r="C97">
        <v>0</v>
      </c>
      <c r="D97">
        <v>0</v>
      </c>
      <c r="E97">
        <v>0</v>
      </c>
      <c r="F97">
        <v>0.95</v>
      </c>
      <c r="G97">
        <v>0.95</v>
      </c>
    </row>
    <row r="98" spans="2:7">
      <c r="B98">
        <v>1.5400000000000007</v>
      </c>
      <c r="C98">
        <v>0</v>
      </c>
      <c r="D98">
        <v>0</v>
      </c>
      <c r="E98">
        <v>0</v>
      </c>
      <c r="F98">
        <v>0.95</v>
      </c>
      <c r="G98">
        <v>0.95</v>
      </c>
    </row>
    <row r="99" spans="2:7">
      <c r="B99">
        <v>1.5500000000000007</v>
      </c>
      <c r="C99">
        <v>0</v>
      </c>
      <c r="D99">
        <v>0</v>
      </c>
      <c r="E99">
        <v>0</v>
      </c>
      <c r="F99">
        <v>0.95</v>
      </c>
      <c r="G99">
        <v>0.95</v>
      </c>
    </row>
    <row r="100" spans="2:7">
      <c r="B100">
        <v>1.5600000000000007</v>
      </c>
      <c r="C100">
        <v>0</v>
      </c>
      <c r="D100">
        <v>0</v>
      </c>
      <c r="E100">
        <v>0</v>
      </c>
      <c r="F100">
        <v>0.95</v>
      </c>
      <c r="G100">
        <v>0.95</v>
      </c>
    </row>
    <row r="101" spans="2:7">
      <c r="B101">
        <v>1.5700000000000007</v>
      </c>
      <c r="C101">
        <v>0</v>
      </c>
      <c r="D101">
        <v>0</v>
      </c>
      <c r="E101">
        <v>0</v>
      </c>
      <c r="F101">
        <v>0.95</v>
      </c>
      <c r="G101">
        <v>0.95</v>
      </c>
    </row>
    <row r="102" spans="2:7">
      <c r="B102">
        <v>1.5800000000000007</v>
      </c>
      <c r="C102">
        <v>0</v>
      </c>
      <c r="D102">
        <v>0</v>
      </c>
      <c r="E102">
        <v>0</v>
      </c>
      <c r="F102">
        <v>0.95</v>
      </c>
      <c r="G102">
        <v>0.95</v>
      </c>
    </row>
    <row r="103" spans="2:7">
      <c r="B103">
        <v>1.5900000000000007</v>
      </c>
      <c r="C103">
        <v>0</v>
      </c>
      <c r="D103">
        <v>0</v>
      </c>
      <c r="E103">
        <v>0</v>
      </c>
      <c r="F103">
        <v>0.95</v>
      </c>
      <c r="G103">
        <v>0.95</v>
      </c>
    </row>
    <row r="104" spans="2:7">
      <c r="B104">
        <v>1.6000000000000008</v>
      </c>
      <c r="C104">
        <v>0</v>
      </c>
      <c r="D104">
        <v>0</v>
      </c>
      <c r="E104">
        <v>0</v>
      </c>
      <c r="F104">
        <v>0.95</v>
      </c>
      <c r="G104">
        <v>0.95</v>
      </c>
    </row>
    <row r="105" spans="2:7">
      <c r="B105">
        <v>1.6100000000000008</v>
      </c>
      <c r="C105">
        <v>0</v>
      </c>
      <c r="D105">
        <v>0</v>
      </c>
      <c r="E105">
        <v>0</v>
      </c>
      <c r="F105">
        <v>0.95</v>
      </c>
      <c r="G105">
        <v>0.95</v>
      </c>
    </row>
    <row r="106" spans="2:7">
      <c r="B106">
        <v>1.6200000000000008</v>
      </c>
      <c r="C106">
        <v>0</v>
      </c>
      <c r="D106">
        <v>0</v>
      </c>
      <c r="E106">
        <v>0</v>
      </c>
      <c r="F106">
        <v>0.95</v>
      </c>
      <c r="G106">
        <v>0.95</v>
      </c>
    </row>
    <row r="107" spans="2:7">
      <c r="B107">
        <v>1.6300000000000008</v>
      </c>
      <c r="C107">
        <v>0</v>
      </c>
      <c r="D107">
        <v>0</v>
      </c>
      <c r="E107">
        <v>0</v>
      </c>
      <c r="F107">
        <v>0.95</v>
      </c>
      <c r="G107">
        <v>0.95</v>
      </c>
    </row>
    <row r="108" spans="2:7">
      <c r="B108">
        <v>1.6400000000000008</v>
      </c>
      <c r="C108">
        <v>0</v>
      </c>
      <c r="D108">
        <v>0</v>
      </c>
      <c r="E108">
        <v>0</v>
      </c>
      <c r="F108">
        <v>0.95</v>
      </c>
      <c r="G108">
        <v>0.95</v>
      </c>
    </row>
    <row r="109" spans="2:7">
      <c r="B109">
        <v>1.6500000000000008</v>
      </c>
      <c r="C109">
        <v>0</v>
      </c>
      <c r="D109">
        <v>0</v>
      </c>
      <c r="E109">
        <v>0</v>
      </c>
      <c r="F109">
        <v>0.95</v>
      </c>
      <c r="G109">
        <v>0.95</v>
      </c>
    </row>
    <row r="110" spans="2:7">
      <c r="B110">
        <v>1.6600000000000008</v>
      </c>
      <c r="C110">
        <v>0</v>
      </c>
      <c r="D110">
        <v>0</v>
      </c>
      <c r="E110">
        <v>0</v>
      </c>
      <c r="F110">
        <v>0.95</v>
      </c>
      <c r="G110">
        <v>0.95</v>
      </c>
    </row>
    <row r="111" spans="2:7">
      <c r="B111">
        <v>1.6700000000000008</v>
      </c>
      <c r="C111">
        <v>0</v>
      </c>
      <c r="D111">
        <v>0</v>
      </c>
      <c r="E111">
        <v>0</v>
      </c>
      <c r="F111">
        <v>0.95</v>
      </c>
      <c r="G111">
        <v>0.95</v>
      </c>
    </row>
    <row r="112" spans="2:7">
      <c r="B112">
        <v>1.6800000000000008</v>
      </c>
      <c r="C112">
        <v>0</v>
      </c>
      <c r="D112">
        <v>0</v>
      </c>
      <c r="E112">
        <v>0</v>
      </c>
      <c r="F112">
        <v>0.95</v>
      </c>
      <c r="G112">
        <v>0.95</v>
      </c>
    </row>
    <row r="113" spans="2:7">
      <c r="B113">
        <v>1.6900000000000008</v>
      </c>
      <c r="C113">
        <v>0</v>
      </c>
      <c r="D113">
        <v>0</v>
      </c>
      <c r="E113">
        <v>0</v>
      </c>
      <c r="F113">
        <v>0.95</v>
      </c>
      <c r="G113">
        <v>0.95</v>
      </c>
    </row>
    <row r="114" spans="2:7">
      <c r="B114">
        <v>1.7000000000000008</v>
      </c>
      <c r="C114">
        <v>0</v>
      </c>
      <c r="D114">
        <v>0</v>
      </c>
      <c r="E114">
        <v>0</v>
      </c>
      <c r="F114">
        <v>0.95</v>
      </c>
      <c r="G114">
        <v>0.95</v>
      </c>
    </row>
    <row r="115" spans="2:7">
      <c r="B115">
        <v>1.7100000000000009</v>
      </c>
      <c r="C115">
        <v>0</v>
      </c>
      <c r="D115">
        <v>0</v>
      </c>
      <c r="E115">
        <v>0</v>
      </c>
      <c r="F115">
        <v>0.95</v>
      </c>
      <c r="G115">
        <v>0.95</v>
      </c>
    </row>
    <row r="116" spans="2:7">
      <c r="B116">
        <v>1.7200000000000009</v>
      </c>
      <c r="C116">
        <v>0</v>
      </c>
      <c r="D116">
        <v>0</v>
      </c>
      <c r="E116">
        <v>0</v>
      </c>
      <c r="F116">
        <v>0.95</v>
      </c>
      <c r="G116">
        <v>0.95</v>
      </c>
    </row>
    <row r="117" spans="2:7">
      <c r="B117">
        <v>1.7300000000000009</v>
      </c>
      <c r="C117">
        <v>0</v>
      </c>
      <c r="D117">
        <v>0</v>
      </c>
      <c r="E117">
        <v>0</v>
      </c>
      <c r="F117">
        <v>0.95</v>
      </c>
      <c r="G117">
        <v>0.95</v>
      </c>
    </row>
    <row r="118" spans="2:7">
      <c r="B118">
        <v>1.7400000000000009</v>
      </c>
      <c r="C118">
        <v>0</v>
      </c>
      <c r="D118">
        <v>0</v>
      </c>
      <c r="E118">
        <v>0</v>
      </c>
      <c r="F118">
        <v>0.92502249828738559</v>
      </c>
      <c r="G118">
        <v>0.95</v>
      </c>
    </row>
    <row r="119" spans="2:7">
      <c r="B119">
        <v>1.7500000000000009</v>
      </c>
      <c r="C119">
        <v>0</v>
      </c>
      <c r="D119">
        <v>0</v>
      </c>
      <c r="E119">
        <v>0</v>
      </c>
      <c r="F119">
        <v>0.80007052030819426</v>
      </c>
      <c r="G119">
        <v>0.95</v>
      </c>
    </row>
    <row r="120" spans="2:7">
      <c r="B120">
        <v>1.7600000000000009</v>
      </c>
      <c r="C120">
        <v>0</v>
      </c>
      <c r="D120">
        <v>0</v>
      </c>
      <c r="E120">
        <v>0</v>
      </c>
      <c r="F120">
        <v>0.67511854232900292</v>
      </c>
      <c r="G120">
        <v>0.95</v>
      </c>
    </row>
    <row r="121" spans="2:7">
      <c r="B121">
        <v>1.7700000000000009</v>
      </c>
      <c r="C121">
        <v>0</v>
      </c>
      <c r="D121">
        <v>0</v>
      </c>
      <c r="E121">
        <v>0</v>
      </c>
      <c r="F121">
        <v>0.55016656434981159</v>
      </c>
      <c r="G121">
        <v>0.95</v>
      </c>
    </row>
    <row r="122" spans="2:7">
      <c r="B122">
        <v>1.7800000000000009</v>
      </c>
      <c r="C122">
        <v>0</v>
      </c>
      <c r="D122">
        <v>0</v>
      </c>
      <c r="E122">
        <v>0</v>
      </c>
      <c r="F122">
        <v>0.42521458637062032</v>
      </c>
      <c r="G122">
        <v>0.95</v>
      </c>
    </row>
    <row r="123" spans="2:7">
      <c r="B123">
        <v>1.7900000000000009</v>
      </c>
      <c r="C123">
        <v>0</v>
      </c>
      <c r="D123">
        <v>0</v>
      </c>
      <c r="E123">
        <v>0</v>
      </c>
      <c r="F123">
        <v>0.30026260839142904</v>
      </c>
      <c r="G123">
        <v>0.95</v>
      </c>
    </row>
    <row r="124" spans="2:7">
      <c r="B124">
        <v>1.8000000000000009</v>
      </c>
      <c r="C124">
        <v>0</v>
      </c>
      <c r="D124">
        <v>0</v>
      </c>
      <c r="E124">
        <v>0</v>
      </c>
      <c r="F124">
        <v>0.17531063041223771</v>
      </c>
      <c r="G124">
        <v>0.95</v>
      </c>
    </row>
    <row r="125" spans="2:7">
      <c r="B125">
        <v>1.8100000000000009</v>
      </c>
      <c r="C125">
        <v>0</v>
      </c>
      <c r="D125">
        <v>0</v>
      </c>
      <c r="E125">
        <v>0</v>
      </c>
      <c r="F125">
        <v>5.035865243304638E-2</v>
      </c>
      <c r="G125">
        <v>0.95</v>
      </c>
    </row>
    <row r="126" spans="2:7">
      <c r="B126">
        <v>1.820000000000001</v>
      </c>
      <c r="C126">
        <v>0</v>
      </c>
      <c r="D126">
        <v>0</v>
      </c>
      <c r="E126">
        <v>0</v>
      </c>
      <c r="F126">
        <v>0</v>
      </c>
      <c r="G126">
        <v>0.95</v>
      </c>
    </row>
    <row r="127" spans="2:7">
      <c r="B127">
        <v>1.830000000000001</v>
      </c>
      <c r="C127">
        <v>0</v>
      </c>
      <c r="D127">
        <v>0</v>
      </c>
      <c r="E127">
        <v>0</v>
      </c>
      <c r="F127">
        <v>0</v>
      </c>
      <c r="G127">
        <v>0.95</v>
      </c>
    </row>
    <row r="128" spans="2:7">
      <c r="B128">
        <v>1.840000000000001</v>
      </c>
      <c r="C128">
        <v>0</v>
      </c>
      <c r="D128">
        <v>0</v>
      </c>
      <c r="E128">
        <v>0</v>
      </c>
      <c r="F128">
        <v>0</v>
      </c>
      <c r="G128">
        <v>0.95</v>
      </c>
    </row>
    <row r="129" spans="2:7">
      <c r="B129">
        <v>1.850000000000001</v>
      </c>
      <c r="C129">
        <v>0</v>
      </c>
      <c r="D129">
        <v>0</v>
      </c>
      <c r="E129">
        <v>0</v>
      </c>
      <c r="F129">
        <v>0</v>
      </c>
      <c r="G129">
        <v>0.95</v>
      </c>
    </row>
    <row r="130" spans="2:7">
      <c r="B130">
        <v>1.860000000000001</v>
      </c>
      <c r="C130">
        <v>0</v>
      </c>
      <c r="D130">
        <v>0</v>
      </c>
      <c r="E130">
        <v>0</v>
      </c>
      <c r="F130">
        <v>0</v>
      </c>
      <c r="G130">
        <v>0.95</v>
      </c>
    </row>
    <row r="131" spans="2:7">
      <c r="B131">
        <v>1.870000000000001</v>
      </c>
      <c r="C131">
        <v>0</v>
      </c>
      <c r="D131">
        <v>0</v>
      </c>
      <c r="E131">
        <v>0</v>
      </c>
      <c r="F131">
        <v>0</v>
      </c>
      <c r="G131">
        <v>0.95</v>
      </c>
    </row>
    <row r="132" spans="2:7">
      <c r="B132">
        <v>1.880000000000001</v>
      </c>
      <c r="C132">
        <v>0</v>
      </c>
      <c r="D132">
        <v>0</v>
      </c>
      <c r="E132">
        <v>0</v>
      </c>
      <c r="F132">
        <v>0</v>
      </c>
      <c r="G132">
        <v>0.95</v>
      </c>
    </row>
    <row r="133" spans="2:7">
      <c r="B133">
        <v>1.890000000000001</v>
      </c>
      <c r="C133">
        <v>0</v>
      </c>
      <c r="D133">
        <v>0</v>
      </c>
      <c r="E133">
        <v>0</v>
      </c>
      <c r="F133">
        <v>0</v>
      </c>
      <c r="G133">
        <v>0.95</v>
      </c>
    </row>
    <row r="134" spans="2:7">
      <c r="B134">
        <v>1.900000000000001</v>
      </c>
      <c r="C134">
        <v>0</v>
      </c>
      <c r="D134">
        <v>0</v>
      </c>
      <c r="E134">
        <v>0</v>
      </c>
      <c r="F134">
        <v>0</v>
      </c>
      <c r="G134">
        <v>0.95</v>
      </c>
    </row>
    <row r="135" spans="2:7">
      <c r="B135">
        <v>1.910000000000001</v>
      </c>
      <c r="C135">
        <v>0</v>
      </c>
      <c r="D135">
        <v>0</v>
      </c>
      <c r="E135">
        <v>0</v>
      </c>
      <c r="F135">
        <v>0</v>
      </c>
      <c r="G135">
        <v>0.95</v>
      </c>
    </row>
    <row r="136" spans="2:7">
      <c r="B136">
        <v>1.920000000000001</v>
      </c>
      <c r="C136">
        <v>0</v>
      </c>
      <c r="D136">
        <v>0</v>
      </c>
      <c r="E136">
        <v>0</v>
      </c>
      <c r="F136">
        <v>0</v>
      </c>
      <c r="G136">
        <v>0.95</v>
      </c>
    </row>
    <row r="137" spans="2:7">
      <c r="B137">
        <v>1.930000000000001</v>
      </c>
      <c r="C137">
        <v>0</v>
      </c>
      <c r="D137">
        <v>0</v>
      </c>
      <c r="E137">
        <v>0</v>
      </c>
      <c r="F137">
        <v>0</v>
      </c>
      <c r="G137">
        <v>0.95</v>
      </c>
    </row>
    <row r="138" spans="2:7">
      <c r="B138">
        <v>1.9400000000000011</v>
      </c>
      <c r="C138">
        <v>0</v>
      </c>
      <c r="D138">
        <v>0</v>
      </c>
      <c r="E138">
        <v>0</v>
      </c>
      <c r="F138">
        <v>0</v>
      </c>
      <c r="G138">
        <v>0.95</v>
      </c>
    </row>
    <row r="139" spans="2:7">
      <c r="B139">
        <v>1.9500000000000011</v>
      </c>
      <c r="C139">
        <v>0</v>
      </c>
      <c r="D139">
        <v>0</v>
      </c>
      <c r="E139">
        <v>0</v>
      </c>
      <c r="F139">
        <v>0</v>
      </c>
      <c r="G139">
        <v>0.95</v>
      </c>
    </row>
    <row r="140" spans="2:7">
      <c r="B140">
        <v>1.9600000000000011</v>
      </c>
      <c r="C140">
        <v>0</v>
      </c>
      <c r="D140">
        <v>0</v>
      </c>
      <c r="E140">
        <v>0</v>
      </c>
      <c r="F140">
        <v>0</v>
      </c>
      <c r="G140">
        <v>0.94333333333332137</v>
      </c>
    </row>
    <row r="141" spans="2:7">
      <c r="B141">
        <v>1.9700000000000011</v>
      </c>
      <c r="C141">
        <v>0</v>
      </c>
      <c r="D141">
        <v>0</v>
      </c>
      <c r="E141">
        <v>0</v>
      </c>
      <c r="F141">
        <v>0</v>
      </c>
      <c r="G141">
        <v>0.83249999999998803</v>
      </c>
    </row>
    <row r="142" spans="2:7">
      <c r="B142">
        <v>1.9800000000000011</v>
      </c>
      <c r="C142">
        <v>0</v>
      </c>
      <c r="D142">
        <v>0</v>
      </c>
      <c r="E142">
        <v>0</v>
      </c>
      <c r="F142">
        <v>0</v>
      </c>
      <c r="G142">
        <v>0.72166666666665447</v>
      </c>
    </row>
    <row r="143" spans="2:7">
      <c r="B143">
        <v>1.9900000000000011</v>
      </c>
      <c r="C143">
        <v>0</v>
      </c>
      <c r="D143">
        <v>0</v>
      </c>
      <c r="E143">
        <v>0</v>
      </c>
      <c r="F143">
        <v>0</v>
      </c>
      <c r="G143">
        <v>0.61083333333332113</v>
      </c>
    </row>
    <row r="144" spans="2:7">
      <c r="B144">
        <v>2.0000000000000009</v>
      </c>
      <c r="C144">
        <v>0</v>
      </c>
      <c r="D144">
        <v>0</v>
      </c>
      <c r="E144">
        <v>0</v>
      </c>
      <c r="F144">
        <v>0</v>
      </c>
      <c r="G144">
        <v>0.49999999999999017</v>
      </c>
    </row>
    <row r="145" spans="2:7">
      <c r="B145">
        <v>2.0100000000000007</v>
      </c>
      <c r="C145">
        <v>0</v>
      </c>
      <c r="D145">
        <v>0</v>
      </c>
      <c r="E145">
        <v>0</v>
      </c>
      <c r="F145">
        <v>0</v>
      </c>
      <c r="G145">
        <v>0.38916666666665922</v>
      </c>
    </row>
    <row r="146" spans="2:7">
      <c r="B146">
        <v>2.0200000000000005</v>
      </c>
      <c r="C146">
        <v>0</v>
      </c>
      <c r="D146">
        <v>0</v>
      </c>
      <c r="E146">
        <v>0</v>
      </c>
      <c r="F146">
        <v>0</v>
      </c>
      <c r="G146">
        <v>0.27833333333332821</v>
      </c>
    </row>
    <row r="147" spans="2:7">
      <c r="B147">
        <v>2.0300000000000002</v>
      </c>
      <c r="C147">
        <v>0</v>
      </c>
      <c r="D147">
        <v>0</v>
      </c>
      <c r="E147">
        <v>0</v>
      </c>
      <c r="F147">
        <v>0</v>
      </c>
      <c r="G147">
        <v>0.16749999999999726</v>
      </c>
    </row>
    <row r="148" spans="2:7">
      <c r="B148">
        <v>2.04</v>
      </c>
      <c r="C148">
        <v>0</v>
      </c>
      <c r="D148">
        <v>0</v>
      </c>
      <c r="E148">
        <v>0</v>
      </c>
      <c r="F148">
        <v>0</v>
      </c>
      <c r="G148">
        <v>5.666666666666631E-2</v>
      </c>
    </row>
    <row r="149" spans="2:7">
      <c r="B149">
        <v>2.0499999999999998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2:7">
      <c r="B150">
        <v>2.0599999999999996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2:7">
      <c r="B151">
        <v>2.0699999999999994</v>
      </c>
      <c r="C151">
        <v>0</v>
      </c>
      <c r="D151">
        <v>0</v>
      </c>
      <c r="E151">
        <v>0</v>
      </c>
      <c r="F151">
        <v>0</v>
      </c>
      <c r="G151">
        <v>0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8" enableFormatConditionsCalculation="0"/>
  <dimension ref="A1:S795"/>
  <sheetViews>
    <sheetView workbookViewId="0">
      <selection activeCell="A32" sqref="A32"/>
    </sheetView>
  </sheetViews>
  <sheetFormatPr baseColWidth="10" defaultColWidth="8.83203125" defaultRowHeight="12"/>
  <cols>
    <col min="1" max="1" width="8.83203125" style="138"/>
    <col min="2" max="2" width="11.83203125" style="138" customWidth="1"/>
    <col min="3" max="3" width="8.33203125" style="138" customWidth="1"/>
    <col min="4" max="4" width="10" style="138" customWidth="1"/>
    <col min="5" max="5" width="9.5" style="138" customWidth="1"/>
    <col min="6" max="6" width="9.83203125" style="138" customWidth="1"/>
    <col min="7" max="7" width="11.83203125" style="138" customWidth="1"/>
    <col min="8" max="10" width="8.83203125" style="138"/>
    <col min="11" max="11" width="8.83203125" style="140"/>
    <col min="12" max="257" width="8.83203125" style="138"/>
    <col min="258" max="258" width="11.83203125" style="138" customWidth="1"/>
    <col min="259" max="259" width="8.33203125" style="138" customWidth="1"/>
    <col min="260" max="260" width="10" style="138" customWidth="1"/>
    <col min="261" max="261" width="9.5" style="138" customWidth="1"/>
    <col min="262" max="262" width="9.83203125" style="138" customWidth="1"/>
    <col min="263" max="263" width="11.83203125" style="138" customWidth="1"/>
    <col min="264" max="513" width="8.83203125" style="138"/>
    <col min="514" max="514" width="11.83203125" style="138" customWidth="1"/>
    <col min="515" max="515" width="8.33203125" style="138" customWidth="1"/>
    <col min="516" max="516" width="10" style="138" customWidth="1"/>
    <col min="517" max="517" width="9.5" style="138" customWidth="1"/>
    <col min="518" max="518" width="9.83203125" style="138" customWidth="1"/>
    <col min="519" max="519" width="11.83203125" style="138" customWidth="1"/>
    <col min="520" max="769" width="8.83203125" style="138"/>
    <col min="770" max="770" width="11.83203125" style="138" customWidth="1"/>
    <col min="771" max="771" width="8.33203125" style="138" customWidth="1"/>
    <col min="772" max="772" width="10" style="138" customWidth="1"/>
    <col min="773" max="773" width="9.5" style="138" customWidth="1"/>
    <col min="774" max="774" width="9.83203125" style="138" customWidth="1"/>
    <col min="775" max="775" width="11.83203125" style="138" customWidth="1"/>
    <col min="776" max="1025" width="8.83203125" style="138"/>
    <col min="1026" max="1026" width="11.83203125" style="138" customWidth="1"/>
    <col min="1027" max="1027" width="8.33203125" style="138" customWidth="1"/>
    <col min="1028" max="1028" width="10" style="138" customWidth="1"/>
    <col min="1029" max="1029" width="9.5" style="138" customWidth="1"/>
    <col min="1030" max="1030" width="9.83203125" style="138" customWidth="1"/>
    <col min="1031" max="1031" width="11.83203125" style="138" customWidth="1"/>
    <col min="1032" max="1281" width="8.83203125" style="138"/>
    <col min="1282" max="1282" width="11.83203125" style="138" customWidth="1"/>
    <col min="1283" max="1283" width="8.33203125" style="138" customWidth="1"/>
    <col min="1284" max="1284" width="10" style="138" customWidth="1"/>
    <col min="1285" max="1285" width="9.5" style="138" customWidth="1"/>
    <col min="1286" max="1286" width="9.83203125" style="138" customWidth="1"/>
    <col min="1287" max="1287" width="11.83203125" style="138" customWidth="1"/>
    <col min="1288" max="1537" width="8.83203125" style="138"/>
    <col min="1538" max="1538" width="11.83203125" style="138" customWidth="1"/>
    <col min="1539" max="1539" width="8.33203125" style="138" customWidth="1"/>
    <col min="1540" max="1540" width="10" style="138" customWidth="1"/>
    <col min="1541" max="1541" width="9.5" style="138" customWidth="1"/>
    <col min="1542" max="1542" width="9.83203125" style="138" customWidth="1"/>
    <col min="1543" max="1543" width="11.83203125" style="138" customWidth="1"/>
    <col min="1544" max="1793" width="8.83203125" style="138"/>
    <col min="1794" max="1794" width="11.83203125" style="138" customWidth="1"/>
    <col min="1795" max="1795" width="8.33203125" style="138" customWidth="1"/>
    <col min="1796" max="1796" width="10" style="138" customWidth="1"/>
    <col min="1797" max="1797" width="9.5" style="138" customWidth="1"/>
    <col min="1798" max="1798" width="9.83203125" style="138" customWidth="1"/>
    <col min="1799" max="1799" width="11.83203125" style="138" customWidth="1"/>
    <col min="1800" max="2049" width="8.83203125" style="138"/>
    <col min="2050" max="2050" width="11.83203125" style="138" customWidth="1"/>
    <col min="2051" max="2051" width="8.33203125" style="138" customWidth="1"/>
    <col min="2052" max="2052" width="10" style="138" customWidth="1"/>
    <col min="2053" max="2053" width="9.5" style="138" customWidth="1"/>
    <col min="2054" max="2054" width="9.83203125" style="138" customWidth="1"/>
    <col min="2055" max="2055" width="11.83203125" style="138" customWidth="1"/>
    <col min="2056" max="2305" width="8.83203125" style="138"/>
    <col min="2306" max="2306" width="11.83203125" style="138" customWidth="1"/>
    <col min="2307" max="2307" width="8.33203125" style="138" customWidth="1"/>
    <col min="2308" max="2308" width="10" style="138" customWidth="1"/>
    <col min="2309" max="2309" width="9.5" style="138" customWidth="1"/>
    <col min="2310" max="2310" width="9.83203125" style="138" customWidth="1"/>
    <col min="2311" max="2311" width="11.83203125" style="138" customWidth="1"/>
    <col min="2312" max="2561" width="8.83203125" style="138"/>
    <col min="2562" max="2562" width="11.83203125" style="138" customWidth="1"/>
    <col min="2563" max="2563" width="8.33203125" style="138" customWidth="1"/>
    <col min="2564" max="2564" width="10" style="138" customWidth="1"/>
    <col min="2565" max="2565" width="9.5" style="138" customWidth="1"/>
    <col min="2566" max="2566" width="9.83203125" style="138" customWidth="1"/>
    <col min="2567" max="2567" width="11.83203125" style="138" customWidth="1"/>
    <col min="2568" max="2817" width="8.83203125" style="138"/>
    <col min="2818" max="2818" width="11.83203125" style="138" customWidth="1"/>
    <col min="2819" max="2819" width="8.33203125" style="138" customWidth="1"/>
    <col min="2820" max="2820" width="10" style="138" customWidth="1"/>
    <col min="2821" max="2821" width="9.5" style="138" customWidth="1"/>
    <col min="2822" max="2822" width="9.83203125" style="138" customWidth="1"/>
    <col min="2823" max="2823" width="11.83203125" style="138" customWidth="1"/>
    <col min="2824" max="3073" width="8.83203125" style="138"/>
    <col min="3074" max="3074" width="11.83203125" style="138" customWidth="1"/>
    <col min="3075" max="3075" width="8.33203125" style="138" customWidth="1"/>
    <col min="3076" max="3076" width="10" style="138" customWidth="1"/>
    <col min="3077" max="3077" width="9.5" style="138" customWidth="1"/>
    <col min="3078" max="3078" width="9.83203125" style="138" customWidth="1"/>
    <col min="3079" max="3079" width="11.83203125" style="138" customWidth="1"/>
    <col min="3080" max="3329" width="8.83203125" style="138"/>
    <col min="3330" max="3330" width="11.83203125" style="138" customWidth="1"/>
    <col min="3331" max="3331" width="8.33203125" style="138" customWidth="1"/>
    <col min="3332" max="3332" width="10" style="138" customWidth="1"/>
    <col min="3333" max="3333" width="9.5" style="138" customWidth="1"/>
    <col min="3334" max="3334" width="9.83203125" style="138" customWidth="1"/>
    <col min="3335" max="3335" width="11.83203125" style="138" customWidth="1"/>
    <col min="3336" max="3585" width="8.83203125" style="138"/>
    <col min="3586" max="3586" width="11.83203125" style="138" customWidth="1"/>
    <col min="3587" max="3587" width="8.33203125" style="138" customWidth="1"/>
    <col min="3588" max="3588" width="10" style="138" customWidth="1"/>
    <col min="3589" max="3589" width="9.5" style="138" customWidth="1"/>
    <col min="3590" max="3590" width="9.83203125" style="138" customWidth="1"/>
    <col min="3591" max="3591" width="11.83203125" style="138" customWidth="1"/>
    <col min="3592" max="3841" width="8.83203125" style="138"/>
    <col min="3842" max="3842" width="11.83203125" style="138" customWidth="1"/>
    <col min="3843" max="3843" width="8.33203125" style="138" customWidth="1"/>
    <col min="3844" max="3844" width="10" style="138" customWidth="1"/>
    <col min="3845" max="3845" width="9.5" style="138" customWidth="1"/>
    <col min="3846" max="3846" width="9.83203125" style="138" customWidth="1"/>
    <col min="3847" max="3847" width="11.83203125" style="138" customWidth="1"/>
    <col min="3848" max="4097" width="8.83203125" style="138"/>
    <col min="4098" max="4098" width="11.83203125" style="138" customWidth="1"/>
    <col min="4099" max="4099" width="8.33203125" style="138" customWidth="1"/>
    <col min="4100" max="4100" width="10" style="138" customWidth="1"/>
    <col min="4101" max="4101" width="9.5" style="138" customWidth="1"/>
    <col min="4102" max="4102" width="9.83203125" style="138" customWidth="1"/>
    <col min="4103" max="4103" width="11.83203125" style="138" customWidth="1"/>
    <col min="4104" max="4353" width="8.83203125" style="138"/>
    <col min="4354" max="4354" width="11.83203125" style="138" customWidth="1"/>
    <col min="4355" max="4355" width="8.33203125" style="138" customWidth="1"/>
    <col min="4356" max="4356" width="10" style="138" customWidth="1"/>
    <col min="4357" max="4357" width="9.5" style="138" customWidth="1"/>
    <col min="4358" max="4358" width="9.83203125" style="138" customWidth="1"/>
    <col min="4359" max="4359" width="11.83203125" style="138" customWidth="1"/>
    <col min="4360" max="4609" width="8.83203125" style="138"/>
    <col min="4610" max="4610" width="11.83203125" style="138" customWidth="1"/>
    <col min="4611" max="4611" width="8.33203125" style="138" customWidth="1"/>
    <col min="4612" max="4612" width="10" style="138" customWidth="1"/>
    <col min="4613" max="4613" width="9.5" style="138" customWidth="1"/>
    <col min="4614" max="4614" width="9.83203125" style="138" customWidth="1"/>
    <col min="4615" max="4615" width="11.83203125" style="138" customWidth="1"/>
    <col min="4616" max="4865" width="8.83203125" style="138"/>
    <col min="4866" max="4866" width="11.83203125" style="138" customWidth="1"/>
    <col min="4867" max="4867" width="8.33203125" style="138" customWidth="1"/>
    <col min="4868" max="4868" width="10" style="138" customWidth="1"/>
    <col min="4869" max="4869" width="9.5" style="138" customWidth="1"/>
    <col min="4870" max="4870" width="9.83203125" style="138" customWidth="1"/>
    <col min="4871" max="4871" width="11.83203125" style="138" customWidth="1"/>
    <col min="4872" max="5121" width="8.83203125" style="138"/>
    <col min="5122" max="5122" width="11.83203125" style="138" customWidth="1"/>
    <col min="5123" max="5123" width="8.33203125" style="138" customWidth="1"/>
    <col min="5124" max="5124" width="10" style="138" customWidth="1"/>
    <col min="5125" max="5125" width="9.5" style="138" customWidth="1"/>
    <col min="5126" max="5126" width="9.83203125" style="138" customWidth="1"/>
    <col min="5127" max="5127" width="11.83203125" style="138" customWidth="1"/>
    <col min="5128" max="5377" width="8.83203125" style="138"/>
    <col min="5378" max="5378" width="11.83203125" style="138" customWidth="1"/>
    <col min="5379" max="5379" width="8.33203125" style="138" customWidth="1"/>
    <col min="5380" max="5380" width="10" style="138" customWidth="1"/>
    <col min="5381" max="5381" width="9.5" style="138" customWidth="1"/>
    <col min="5382" max="5382" width="9.83203125" style="138" customWidth="1"/>
    <col min="5383" max="5383" width="11.83203125" style="138" customWidth="1"/>
    <col min="5384" max="5633" width="8.83203125" style="138"/>
    <col min="5634" max="5634" width="11.83203125" style="138" customWidth="1"/>
    <col min="5635" max="5635" width="8.33203125" style="138" customWidth="1"/>
    <col min="5636" max="5636" width="10" style="138" customWidth="1"/>
    <col min="5637" max="5637" width="9.5" style="138" customWidth="1"/>
    <col min="5638" max="5638" width="9.83203125" style="138" customWidth="1"/>
    <col min="5639" max="5639" width="11.83203125" style="138" customWidth="1"/>
    <col min="5640" max="5889" width="8.83203125" style="138"/>
    <col min="5890" max="5890" width="11.83203125" style="138" customWidth="1"/>
    <col min="5891" max="5891" width="8.33203125" style="138" customWidth="1"/>
    <col min="5892" max="5892" width="10" style="138" customWidth="1"/>
    <col min="5893" max="5893" width="9.5" style="138" customWidth="1"/>
    <col min="5894" max="5894" width="9.83203125" style="138" customWidth="1"/>
    <col min="5895" max="5895" width="11.83203125" style="138" customWidth="1"/>
    <col min="5896" max="6145" width="8.83203125" style="138"/>
    <col min="6146" max="6146" width="11.83203125" style="138" customWidth="1"/>
    <col min="6147" max="6147" width="8.33203125" style="138" customWidth="1"/>
    <col min="6148" max="6148" width="10" style="138" customWidth="1"/>
    <col min="6149" max="6149" width="9.5" style="138" customWidth="1"/>
    <col min="6150" max="6150" width="9.83203125" style="138" customWidth="1"/>
    <col min="6151" max="6151" width="11.83203125" style="138" customWidth="1"/>
    <col min="6152" max="6401" width="8.83203125" style="138"/>
    <col min="6402" max="6402" width="11.83203125" style="138" customWidth="1"/>
    <col min="6403" max="6403" width="8.33203125" style="138" customWidth="1"/>
    <col min="6404" max="6404" width="10" style="138" customWidth="1"/>
    <col min="6405" max="6405" width="9.5" style="138" customWidth="1"/>
    <col min="6406" max="6406" width="9.83203125" style="138" customWidth="1"/>
    <col min="6407" max="6407" width="11.83203125" style="138" customWidth="1"/>
    <col min="6408" max="6657" width="8.83203125" style="138"/>
    <col min="6658" max="6658" width="11.83203125" style="138" customWidth="1"/>
    <col min="6659" max="6659" width="8.33203125" style="138" customWidth="1"/>
    <col min="6660" max="6660" width="10" style="138" customWidth="1"/>
    <col min="6661" max="6661" width="9.5" style="138" customWidth="1"/>
    <col min="6662" max="6662" width="9.83203125" style="138" customWidth="1"/>
    <col min="6663" max="6663" width="11.83203125" style="138" customWidth="1"/>
    <col min="6664" max="6913" width="8.83203125" style="138"/>
    <col min="6914" max="6914" width="11.83203125" style="138" customWidth="1"/>
    <col min="6915" max="6915" width="8.33203125" style="138" customWidth="1"/>
    <col min="6916" max="6916" width="10" style="138" customWidth="1"/>
    <col min="6917" max="6917" width="9.5" style="138" customWidth="1"/>
    <col min="6918" max="6918" width="9.83203125" style="138" customWidth="1"/>
    <col min="6919" max="6919" width="11.83203125" style="138" customWidth="1"/>
    <col min="6920" max="7169" width="8.83203125" style="138"/>
    <col min="7170" max="7170" width="11.83203125" style="138" customWidth="1"/>
    <col min="7171" max="7171" width="8.33203125" style="138" customWidth="1"/>
    <col min="7172" max="7172" width="10" style="138" customWidth="1"/>
    <col min="7173" max="7173" width="9.5" style="138" customWidth="1"/>
    <col min="7174" max="7174" width="9.83203125" style="138" customWidth="1"/>
    <col min="7175" max="7175" width="11.83203125" style="138" customWidth="1"/>
    <col min="7176" max="7425" width="8.83203125" style="138"/>
    <col min="7426" max="7426" width="11.83203125" style="138" customWidth="1"/>
    <col min="7427" max="7427" width="8.33203125" style="138" customWidth="1"/>
    <col min="7428" max="7428" width="10" style="138" customWidth="1"/>
    <col min="7429" max="7429" width="9.5" style="138" customWidth="1"/>
    <col min="7430" max="7430" width="9.83203125" style="138" customWidth="1"/>
    <col min="7431" max="7431" width="11.83203125" style="138" customWidth="1"/>
    <col min="7432" max="7681" width="8.83203125" style="138"/>
    <col min="7682" max="7682" width="11.83203125" style="138" customWidth="1"/>
    <col min="7683" max="7683" width="8.33203125" style="138" customWidth="1"/>
    <col min="7684" max="7684" width="10" style="138" customWidth="1"/>
    <col min="7685" max="7685" width="9.5" style="138" customWidth="1"/>
    <col min="7686" max="7686" width="9.83203125" style="138" customWidth="1"/>
    <col min="7687" max="7687" width="11.83203125" style="138" customWidth="1"/>
    <col min="7688" max="7937" width="8.83203125" style="138"/>
    <col min="7938" max="7938" width="11.83203125" style="138" customWidth="1"/>
    <col min="7939" max="7939" width="8.33203125" style="138" customWidth="1"/>
    <col min="7940" max="7940" width="10" style="138" customWidth="1"/>
    <col min="7941" max="7941" width="9.5" style="138" customWidth="1"/>
    <col min="7942" max="7942" width="9.83203125" style="138" customWidth="1"/>
    <col min="7943" max="7943" width="11.83203125" style="138" customWidth="1"/>
    <col min="7944" max="8193" width="8.83203125" style="138"/>
    <col min="8194" max="8194" width="11.83203125" style="138" customWidth="1"/>
    <col min="8195" max="8195" width="8.33203125" style="138" customWidth="1"/>
    <col min="8196" max="8196" width="10" style="138" customWidth="1"/>
    <col min="8197" max="8197" width="9.5" style="138" customWidth="1"/>
    <col min="8198" max="8198" width="9.83203125" style="138" customWidth="1"/>
    <col min="8199" max="8199" width="11.83203125" style="138" customWidth="1"/>
    <col min="8200" max="8449" width="8.83203125" style="138"/>
    <col min="8450" max="8450" width="11.83203125" style="138" customWidth="1"/>
    <col min="8451" max="8451" width="8.33203125" style="138" customWidth="1"/>
    <col min="8452" max="8452" width="10" style="138" customWidth="1"/>
    <col min="8453" max="8453" width="9.5" style="138" customWidth="1"/>
    <col min="8454" max="8454" width="9.83203125" style="138" customWidth="1"/>
    <col min="8455" max="8455" width="11.83203125" style="138" customWidth="1"/>
    <col min="8456" max="8705" width="8.83203125" style="138"/>
    <col min="8706" max="8706" width="11.83203125" style="138" customWidth="1"/>
    <col min="8707" max="8707" width="8.33203125" style="138" customWidth="1"/>
    <col min="8708" max="8708" width="10" style="138" customWidth="1"/>
    <col min="8709" max="8709" width="9.5" style="138" customWidth="1"/>
    <col min="8710" max="8710" width="9.83203125" style="138" customWidth="1"/>
    <col min="8711" max="8711" width="11.83203125" style="138" customWidth="1"/>
    <col min="8712" max="8961" width="8.83203125" style="138"/>
    <col min="8962" max="8962" width="11.83203125" style="138" customWidth="1"/>
    <col min="8963" max="8963" width="8.33203125" style="138" customWidth="1"/>
    <col min="8964" max="8964" width="10" style="138" customWidth="1"/>
    <col min="8965" max="8965" width="9.5" style="138" customWidth="1"/>
    <col min="8966" max="8966" width="9.83203125" style="138" customWidth="1"/>
    <col min="8967" max="8967" width="11.83203125" style="138" customWidth="1"/>
    <col min="8968" max="9217" width="8.83203125" style="138"/>
    <col min="9218" max="9218" width="11.83203125" style="138" customWidth="1"/>
    <col min="9219" max="9219" width="8.33203125" style="138" customWidth="1"/>
    <col min="9220" max="9220" width="10" style="138" customWidth="1"/>
    <col min="9221" max="9221" width="9.5" style="138" customWidth="1"/>
    <col min="9222" max="9222" width="9.83203125" style="138" customWidth="1"/>
    <col min="9223" max="9223" width="11.83203125" style="138" customWidth="1"/>
    <col min="9224" max="9473" width="8.83203125" style="138"/>
    <col min="9474" max="9474" width="11.83203125" style="138" customWidth="1"/>
    <col min="9475" max="9475" width="8.33203125" style="138" customWidth="1"/>
    <col min="9476" max="9476" width="10" style="138" customWidth="1"/>
    <col min="9477" max="9477" width="9.5" style="138" customWidth="1"/>
    <col min="9478" max="9478" width="9.83203125" style="138" customWidth="1"/>
    <col min="9479" max="9479" width="11.83203125" style="138" customWidth="1"/>
    <col min="9480" max="9729" width="8.83203125" style="138"/>
    <col min="9730" max="9730" width="11.83203125" style="138" customWidth="1"/>
    <col min="9731" max="9731" width="8.33203125" style="138" customWidth="1"/>
    <col min="9732" max="9732" width="10" style="138" customWidth="1"/>
    <col min="9733" max="9733" width="9.5" style="138" customWidth="1"/>
    <col min="9734" max="9734" width="9.83203125" style="138" customWidth="1"/>
    <col min="9735" max="9735" width="11.83203125" style="138" customWidth="1"/>
    <col min="9736" max="9985" width="8.83203125" style="138"/>
    <col min="9986" max="9986" width="11.83203125" style="138" customWidth="1"/>
    <col min="9987" max="9987" width="8.33203125" style="138" customWidth="1"/>
    <col min="9988" max="9988" width="10" style="138" customWidth="1"/>
    <col min="9989" max="9989" width="9.5" style="138" customWidth="1"/>
    <col min="9990" max="9990" width="9.83203125" style="138" customWidth="1"/>
    <col min="9991" max="9991" width="11.83203125" style="138" customWidth="1"/>
    <col min="9992" max="10241" width="8.83203125" style="138"/>
    <col min="10242" max="10242" width="11.83203125" style="138" customWidth="1"/>
    <col min="10243" max="10243" width="8.33203125" style="138" customWidth="1"/>
    <col min="10244" max="10244" width="10" style="138" customWidth="1"/>
    <col min="10245" max="10245" width="9.5" style="138" customWidth="1"/>
    <col min="10246" max="10246" width="9.83203125" style="138" customWidth="1"/>
    <col min="10247" max="10247" width="11.83203125" style="138" customWidth="1"/>
    <col min="10248" max="10497" width="8.83203125" style="138"/>
    <col min="10498" max="10498" width="11.83203125" style="138" customWidth="1"/>
    <col min="10499" max="10499" width="8.33203125" style="138" customWidth="1"/>
    <col min="10500" max="10500" width="10" style="138" customWidth="1"/>
    <col min="10501" max="10501" width="9.5" style="138" customWidth="1"/>
    <col min="10502" max="10502" width="9.83203125" style="138" customWidth="1"/>
    <col min="10503" max="10503" width="11.83203125" style="138" customWidth="1"/>
    <col min="10504" max="10753" width="8.83203125" style="138"/>
    <col min="10754" max="10754" width="11.83203125" style="138" customWidth="1"/>
    <col min="10755" max="10755" width="8.33203125" style="138" customWidth="1"/>
    <col min="10756" max="10756" width="10" style="138" customWidth="1"/>
    <col min="10757" max="10757" width="9.5" style="138" customWidth="1"/>
    <col min="10758" max="10758" width="9.83203125" style="138" customWidth="1"/>
    <col min="10759" max="10759" width="11.83203125" style="138" customWidth="1"/>
    <col min="10760" max="11009" width="8.83203125" style="138"/>
    <col min="11010" max="11010" width="11.83203125" style="138" customWidth="1"/>
    <col min="11011" max="11011" width="8.33203125" style="138" customWidth="1"/>
    <col min="11012" max="11012" width="10" style="138" customWidth="1"/>
    <col min="11013" max="11013" width="9.5" style="138" customWidth="1"/>
    <col min="11014" max="11014" width="9.83203125" style="138" customWidth="1"/>
    <col min="11015" max="11015" width="11.83203125" style="138" customWidth="1"/>
    <col min="11016" max="11265" width="8.83203125" style="138"/>
    <col min="11266" max="11266" width="11.83203125" style="138" customWidth="1"/>
    <col min="11267" max="11267" width="8.33203125" style="138" customWidth="1"/>
    <col min="11268" max="11268" width="10" style="138" customWidth="1"/>
    <col min="11269" max="11269" width="9.5" style="138" customWidth="1"/>
    <col min="11270" max="11270" width="9.83203125" style="138" customWidth="1"/>
    <col min="11271" max="11271" width="11.83203125" style="138" customWidth="1"/>
    <col min="11272" max="11521" width="8.83203125" style="138"/>
    <col min="11522" max="11522" width="11.83203125" style="138" customWidth="1"/>
    <col min="11523" max="11523" width="8.33203125" style="138" customWidth="1"/>
    <col min="11524" max="11524" width="10" style="138" customWidth="1"/>
    <col min="11525" max="11525" width="9.5" style="138" customWidth="1"/>
    <col min="11526" max="11526" width="9.83203125" style="138" customWidth="1"/>
    <col min="11527" max="11527" width="11.83203125" style="138" customWidth="1"/>
    <col min="11528" max="11777" width="8.83203125" style="138"/>
    <col min="11778" max="11778" width="11.83203125" style="138" customWidth="1"/>
    <col min="11779" max="11779" width="8.33203125" style="138" customWidth="1"/>
    <col min="11780" max="11780" width="10" style="138" customWidth="1"/>
    <col min="11781" max="11781" width="9.5" style="138" customWidth="1"/>
    <col min="11782" max="11782" width="9.83203125" style="138" customWidth="1"/>
    <col min="11783" max="11783" width="11.83203125" style="138" customWidth="1"/>
    <col min="11784" max="12033" width="8.83203125" style="138"/>
    <col min="12034" max="12034" width="11.83203125" style="138" customWidth="1"/>
    <col min="12035" max="12035" width="8.33203125" style="138" customWidth="1"/>
    <col min="12036" max="12036" width="10" style="138" customWidth="1"/>
    <col min="12037" max="12037" width="9.5" style="138" customWidth="1"/>
    <col min="12038" max="12038" width="9.83203125" style="138" customWidth="1"/>
    <col min="12039" max="12039" width="11.83203125" style="138" customWidth="1"/>
    <col min="12040" max="12289" width="8.83203125" style="138"/>
    <col min="12290" max="12290" width="11.83203125" style="138" customWidth="1"/>
    <col min="12291" max="12291" width="8.33203125" style="138" customWidth="1"/>
    <col min="12292" max="12292" width="10" style="138" customWidth="1"/>
    <col min="12293" max="12293" width="9.5" style="138" customWidth="1"/>
    <col min="12294" max="12294" width="9.83203125" style="138" customWidth="1"/>
    <col min="12295" max="12295" width="11.83203125" style="138" customWidth="1"/>
    <col min="12296" max="12545" width="8.83203125" style="138"/>
    <col min="12546" max="12546" width="11.83203125" style="138" customWidth="1"/>
    <col min="12547" max="12547" width="8.33203125" style="138" customWidth="1"/>
    <col min="12548" max="12548" width="10" style="138" customWidth="1"/>
    <col min="12549" max="12549" width="9.5" style="138" customWidth="1"/>
    <col min="12550" max="12550" width="9.83203125" style="138" customWidth="1"/>
    <col min="12551" max="12551" width="11.83203125" style="138" customWidth="1"/>
    <col min="12552" max="12801" width="8.83203125" style="138"/>
    <col min="12802" max="12802" width="11.83203125" style="138" customWidth="1"/>
    <col min="12803" max="12803" width="8.33203125" style="138" customWidth="1"/>
    <col min="12804" max="12804" width="10" style="138" customWidth="1"/>
    <col min="12805" max="12805" width="9.5" style="138" customWidth="1"/>
    <col min="12806" max="12806" width="9.83203125" style="138" customWidth="1"/>
    <col min="12807" max="12807" width="11.83203125" style="138" customWidth="1"/>
    <col min="12808" max="13057" width="8.83203125" style="138"/>
    <col min="13058" max="13058" width="11.83203125" style="138" customWidth="1"/>
    <col min="13059" max="13059" width="8.33203125" style="138" customWidth="1"/>
    <col min="13060" max="13060" width="10" style="138" customWidth="1"/>
    <col min="13061" max="13061" width="9.5" style="138" customWidth="1"/>
    <col min="13062" max="13062" width="9.83203125" style="138" customWidth="1"/>
    <col min="13063" max="13063" width="11.83203125" style="138" customWidth="1"/>
    <col min="13064" max="13313" width="8.83203125" style="138"/>
    <col min="13314" max="13314" width="11.83203125" style="138" customWidth="1"/>
    <col min="13315" max="13315" width="8.33203125" style="138" customWidth="1"/>
    <col min="13316" max="13316" width="10" style="138" customWidth="1"/>
    <col min="13317" max="13317" width="9.5" style="138" customWidth="1"/>
    <col min="13318" max="13318" width="9.83203125" style="138" customWidth="1"/>
    <col min="13319" max="13319" width="11.83203125" style="138" customWidth="1"/>
    <col min="13320" max="13569" width="8.83203125" style="138"/>
    <col min="13570" max="13570" width="11.83203125" style="138" customWidth="1"/>
    <col min="13571" max="13571" width="8.33203125" style="138" customWidth="1"/>
    <col min="13572" max="13572" width="10" style="138" customWidth="1"/>
    <col min="13573" max="13573" width="9.5" style="138" customWidth="1"/>
    <col min="13574" max="13574" width="9.83203125" style="138" customWidth="1"/>
    <col min="13575" max="13575" width="11.83203125" style="138" customWidth="1"/>
    <col min="13576" max="13825" width="8.83203125" style="138"/>
    <col min="13826" max="13826" width="11.83203125" style="138" customWidth="1"/>
    <col min="13827" max="13827" width="8.33203125" style="138" customWidth="1"/>
    <col min="13828" max="13828" width="10" style="138" customWidth="1"/>
    <col min="13829" max="13829" width="9.5" style="138" customWidth="1"/>
    <col min="13830" max="13830" width="9.83203125" style="138" customWidth="1"/>
    <col min="13831" max="13831" width="11.83203125" style="138" customWidth="1"/>
    <col min="13832" max="14081" width="8.83203125" style="138"/>
    <col min="14082" max="14082" width="11.83203125" style="138" customWidth="1"/>
    <col min="14083" max="14083" width="8.33203125" style="138" customWidth="1"/>
    <col min="14084" max="14084" width="10" style="138" customWidth="1"/>
    <col min="14085" max="14085" width="9.5" style="138" customWidth="1"/>
    <col min="14086" max="14086" width="9.83203125" style="138" customWidth="1"/>
    <col min="14087" max="14087" width="11.83203125" style="138" customWidth="1"/>
    <col min="14088" max="14337" width="8.83203125" style="138"/>
    <col min="14338" max="14338" width="11.83203125" style="138" customWidth="1"/>
    <col min="14339" max="14339" width="8.33203125" style="138" customWidth="1"/>
    <col min="14340" max="14340" width="10" style="138" customWidth="1"/>
    <col min="14341" max="14341" width="9.5" style="138" customWidth="1"/>
    <col min="14342" max="14342" width="9.83203125" style="138" customWidth="1"/>
    <col min="14343" max="14343" width="11.83203125" style="138" customWidth="1"/>
    <col min="14344" max="14593" width="8.83203125" style="138"/>
    <col min="14594" max="14594" width="11.83203125" style="138" customWidth="1"/>
    <col min="14595" max="14595" width="8.33203125" style="138" customWidth="1"/>
    <col min="14596" max="14596" width="10" style="138" customWidth="1"/>
    <col min="14597" max="14597" width="9.5" style="138" customWidth="1"/>
    <col min="14598" max="14598" width="9.83203125" style="138" customWidth="1"/>
    <col min="14599" max="14599" width="11.83203125" style="138" customWidth="1"/>
    <col min="14600" max="14849" width="8.83203125" style="138"/>
    <col min="14850" max="14850" width="11.83203125" style="138" customWidth="1"/>
    <col min="14851" max="14851" width="8.33203125" style="138" customWidth="1"/>
    <col min="14852" max="14852" width="10" style="138" customWidth="1"/>
    <col min="14853" max="14853" width="9.5" style="138" customWidth="1"/>
    <col min="14854" max="14854" width="9.83203125" style="138" customWidth="1"/>
    <col min="14855" max="14855" width="11.83203125" style="138" customWidth="1"/>
    <col min="14856" max="15105" width="8.83203125" style="138"/>
    <col min="15106" max="15106" width="11.83203125" style="138" customWidth="1"/>
    <col min="15107" max="15107" width="8.33203125" style="138" customWidth="1"/>
    <col min="15108" max="15108" width="10" style="138" customWidth="1"/>
    <col min="15109" max="15109" width="9.5" style="138" customWidth="1"/>
    <col min="15110" max="15110" width="9.83203125" style="138" customWidth="1"/>
    <col min="15111" max="15111" width="11.83203125" style="138" customWidth="1"/>
    <col min="15112" max="15361" width="8.83203125" style="138"/>
    <col min="15362" max="15362" width="11.83203125" style="138" customWidth="1"/>
    <col min="15363" max="15363" width="8.33203125" style="138" customWidth="1"/>
    <col min="15364" max="15364" width="10" style="138" customWidth="1"/>
    <col min="15365" max="15365" width="9.5" style="138" customWidth="1"/>
    <col min="15366" max="15366" width="9.83203125" style="138" customWidth="1"/>
    <col min="15367" max="15367" width="11.83203125" style="138" customWidth="1"/>
    <col min="15368" max="15617" width="8.83203125" style="138"/>
    <col min="15618" max="15618" width="11.83203125" style="138" customWidth="1"/>
    <col min="15619" max="15619" width="8.33203125" style="138" customWidth="1"/>
    <col min="15620" max="15620" width="10" style="138" customWidth="1"/>
    <col min="15621" max="15621" width="9.5" style="138" customWidth="1"/>
    <col min="15622" max="15622" width="9.83203125" style="138" customWidth="1"/>
    <col min="15623" max="15623" width="11.83203125" style="138" customWidth="1"/>
    <col min="15624" max="15873" width="8.83203125" style="138"/>
    <col min="15874" max="15874" width="11.83203125" style="138" customWidth="1"/>
    <col min="15875" max="15875" width="8.33203125" style="138" customWidth="1"/>
    <col min="15876" max="15876" width="10" style="138" customWidth="1"/>
    <col min="15877" max="15877" width="9.5" style="138" customWidth="1"/>
    <col min="15878" max="15878" width="9.83203125" style="138" customWidth="1"/>
    <col min="15879" max="15879" width="11.83203125" style="138" customWidth="1"/>
    <col min="15880" max="16129" width="8.83203125" style="138"/>
    <col min="16130" max="16130" width="11.83203125" style="138" customWidth="1"/>
    <col min="16131" max="16131" width="8.33203125" style="138" customWidth="1"/>
    <col min="16132" max="16132" width="10" style="138" customWidth="1"/>
    <col min="16133" max="16133" width="9.5" style="138" customWidth="1"/>
    <col min="16134" max="16134" width="9.83203125" style="138" customWidth="1"/>
    <col min="16135" max="16135" width="11.83203125" style="138" customWidth="1"/>
    <col min="16136" max="16384" width="8.83203125" style="138"/>
  </cols>
  <sheetData>
    <row r="1" spans="1:19" ht="14">
      <c r="J1" s="139" t="s">
        <v>85</v>
      </c>
      <c r="L1" s="139" t="s">
        <v>323</v>
      </c>
      <c r="M1" s="138">
        <v>0.1053</v>
      </c>
      <c r="N1" s="139" t="s">
        <v>123</v>
      </c>
      <c r="O1" s="138">
        <v>0.74739999999999995</v>
      </c>
    </row>
    <row r="2" spans="1:19">
      <c r="A2" s="138" t="s">
        <v>86</v>
      </c>
      <c r="F2" s="139" t="s">
        <v>87</v>
      </c>
      <c r="G2" s="138">
        <v>97.83</v>
      </c>
      <c r="J2" s="139" t="s">
        <v>88</v>
      </c>
      <c r="K2" s="141">
        <f>MAX(K5:K801)</f>
        <v>92.096394844232734</v>
      </c>
    </row>
    <row r="4" spans="1:19" s="142" customFormat="1" ht="28.25" customHeight="1">
      <c r="A4" s="142" t="s">
        <v>101</v>
      </c>
      <c r="B4" s="142" t="s">
        <v>100</v>
      </c>
      <c r="C4" s="142" t="s">
        <v>89</v>
      </c>
      <c r="D4" s="142" t="s">
        <v>90</v>
      </c>
      <c r="E4" s="142" t="s">
        <v>91</v>
      </c>
      <c r="F4" s="142" t="s">
        <v>92</v>
      </c>
      <c r="G4" s="143" t="s">
        <v>93</v>
      </c>
      <c r="H4" s="143" t="s">
        <v>94</v>
      </c>
      <c r="I4" s="143" t="s">
        <v>95</v>
      </c>
      <c r="J4" s="143" t="s">
        <v>96</v>
      </c>
      <c r="K4" s="144" t="s">
        <v>97</v>
      </c>
      <c r="M4" s="143" t="s">
        <v>98</v>
      </c>
      <c r="N4" s="143"/>
    </row>
    <row r="5" spans="1:19">
      <c r="A5" s="138">
        <f>B5/1000</f>
        <v>0.5</v>
      </c>
      <c r="B5" s="138">
        <v>500</v>
      </c>
      <c r="C5" s="138">
        <v>82.65</v>
      </c>
      <c r="D5" s="138">
        <v>17.350000000000001</v>
      </c>
      <c r="E5" s="138">
        <v>84.099000000000004</v>
      </c>
      <c r="F5" s="138">
        <v>15.901</v>
      </c>
      <c r="G5" s="138">
        <f>MIN(C5,E5)</f>
        <v>82.65</v>
      </c>
      <c r="H5" s="138">
        <v>1</v>
      </c>
      <c r="I5" s="138">
        <v>0</v>
      </c>
      <c r="J5" s="145">
        <f>MIN(B5/1000*$M$1+$O$1,1)</f>
        <v>0.80004999999999993</v>
      </c>
      <c r="K5" s="140">
        <f>G5*H5*I5*J5*$G$2/100</f>
        <v>0</v>
      </c>
      <c r="M5" s="138" t="s">
        <v>78</v>
      </c>
      <c r="N5" s="139" t="s">
        <v>205</v>
      </c>
      <c r="O5" s="138" t="s">
        <v>75</v>
      </c>
      <c r="P5" s="138" t="s">
        <v>76</v>
      </c>
      <c r="Q5" s="138" t="s">
        <v>77</v>
      </c>
      <c r="R5" s="138" t="s">
        <v>80</v>
      </c>
      <c r="S5" s="139" t="s">
        <v>99</v>
      </c>
    </row>
    <row r="6" spans="1:19">
      <c r="A6" s="138">
        <f t="shared" ref="A6:A69" si="0">B6/1000</f>
        <v>0.50316499999999997</v>
      </c>
      <c r="B6" s="138">
        <v>503.16500000000002</v>
      </c>
      <c r="C6" s="138">
        <v>83.013999999999996</v>
      </c>
      <c r="D6" s="138">
        <v>16.986000000000001</v>
      </c>
      <c r="E6" s="138">
        <v>84.372</v>
      </c>
      <c r="F6" s="138">
        <v>15.628</v>
      </c>
      <c r="G6" s="138">
        <f t="shared" ref="G6:G69" si="1">MIN(C6,E6)</f>
        <v>83.013999999999996</v>
      </c>
      <c r="H6" s="138">
        <v>1</v>
      </c>
      <c r="I6" s="138">
        <v>1</v>
      </c>
      <c r="J6" s="145">
        <f t="shared" ref="J6:J69" si="2">MIN(B6/1000*$M$1+$O$1,1)</f>
        <v>0.80038327449999991</v>
      </c>
      <c r="K6" s="149">
        <f t="shared" ref="K6:K69" si="3">MAX(G6*H6*I6*J6*$G$2/100,70)</f>
        <v>70</v>
      </c>
      <c r="M6" s="138">
        <v>0.4</v>
      </c>
      <c r="N6" s="138">
        <f>M6*1000</f>
        <v>400</v>
      </c>
      <c r="O6" s="138">
        <v>0.85</v>
      </c>
      <c r="P6" s="138">
        <v>0.79999999999999993</v>
      </c>
      <c r="Q6" s="145">
        <v>0.6956</v>
      </c>
      <c r="R6" s="145">
        <v>0.65176522879999932</v>
      </c>
      <c r="S6" s="147">
        <f>R6*100</f>
        <v>65.176522879999936</v>
      </c>
    </row>
    <row r="7" spans="1:19">
      <c r="A7" s="138">
        <f t="shared" si="0"/>
        <v>0.50632900000000003</v>
      </c>
      <c r="B7" s="138">
        <v>506.32900000000001</v>
      </c>
      <c r="C7" s="138">
        <v>83.406000000000006</v>
      </c>
      <c r="D7" s="138">
        <v>16.594000000000001</v>
      </c>
      <c r="E7" s="138">
        <v>84.671000000000006</v>
      </c>
      <c r="F7" s="138">
        <v>15.329000000000001</v>
      </c>
      <c r="G7" s="138">
        <f t="shared" si="1"/>
        <v>83.406000000000006</v>
      </c>
      <c r="H7" s="138">
        <v>1</v>
      </c>
      <c r="I7" s="138">
        <v>1</v>
      </c>
      <c r="J7" s="145">
        <f t="shared" si="2"/>
        <v>0.80071644369999995</v>
      </c>
      <c r="K7" s="149">
        <f t="shared" si="3"/>
        <v>70</v>
      </c>
      <c r="M7" s="138">
        <v>0.46250000000000002</v>
      </c>
      <c r="N7" s="138">
        <f t="shared" ref="N7:N32" si="4">M7*1000</f>
        <v>462.5</v>
      </c>
      <c r="O7" s="138">
        <v>0.88749999999999996</v>
      </c>
      <c r="P7" s="138">
        <v>0.83749999999999991</v>
      </c>
      <c r="Q7" s="145">
        <v>0.70325624999999992</v>
      </c>
      <c r="R7" s="145">
        <v>0.81174785287450923</v>
      </c>
      <c r="S7" s="147">
        <f t="shared" ref="S7:S32" si="5">R7*100</f>
        <v>81.174785287450931</v>
      </c>
    </row>
    <row r="8" spans="1:19">
      <c r="A8" s="138">
        <f t="shared" si="0"/>
        <v>0.509494</v>
      </c>
      <c r="B8" s="138">
        <v>509.49400000000003</v>
      </c>
      <c r="C8" s="138">
        <v>83.825000000000003</v>
      </c>
      <c r="D8" s="138">
        <v>16.175000000000001</v>
      </c>
      <c r="E8" s="138">
        <v>84.992999999999995</v>
      </c>
      <c r="F8" s="138">
        <v>15.007</v>
      </c>
      <c r="G8" s="138">
        <f t="shared" si="1"/>
        <v>83.825000000000003</v>
      </c>
      <c r="H8" s="138">
        <v>1</v>
      </c>
      <c r="I8" s="138">
        <v>1</v>
      </c>
      <c r="J8" s="145">
        <f t="shared" si="2"/>
        <v>0.80104971819999993</v>
      </c>
      <c r="K8" s="149">
        <f t="shared" si="3"/>
        <v>70</v>
      </c>
      <c r="M8" s="138">
        <v>0.52500000000000002</v>
      </c>
      <c r="N8" s="138">
        <f t="shared" si="4"/>
        <v>525</v>
      </c>
      <c r="O8" s="138">
        <v>0.92500000000000004</v>
      </c>
      <c r="P8" s="138">
        <v>0.875</v>
      </c>
      <c r="Q8" s="145">
        <v>0.71091249999999995</v>
      </c>
      <c r="R8" s="145">
        <v>0.88622928131073997</v>
      </c>
      <c r="S8" s="147">
        <f t="shared" si="5"/>
        <v>88.622928131073991</v>
      </c>
    </row>
    <row r="9" spans="1:19">
      <c r="A9" s="138">
        <f t="shared" si="0"/>
        <v>0.51265800000000006</v>
      </c>
      <c r="B9" s="138">
        <v>512.65800000000002</v>
      </c>
      <c r="C9" s="138">
        <v>84.266999999999996</v>
      </c>
      <c r="D9" s="138">
        <v>15.733000000000001</v>
      </c>
      <c r="E9" s="138">
        <v>85.337000000000003</v>
      </c>
      <c r="F9" s="138">
        <v>14.663</v>
      </c>
      <c r="G9" s="138">
        <f t="shared" si="1"/>
        <v>84.266999999999996</v>
      </c>
      <c r="H9" s="138">
        <v>1</v>
      </c>
      <c r="I9" s="138">
        <v>1</v>
      </c>
      <c r="J9" s="145">
        <f t="shared" si="2"/>
        <v>0.80138288739999997</v>
      </c>
      <c r="K9" s="149">
        <f t="shared" si="3"/>
        <v>70</v>
      </c>
      <c r="M9" s="138">
        <v>0.58750000000000002</v>
      </c>
      <c r="N9" s="138">
        <f t="shared" si="4"/>
        <v>587.5</v>
      </c>
      <c r="O9" s="138">
        <v>0.94750000000000001</v>
      </c>
      <c r="P9" s="138">
        <v>0.89749999999999996</v>
      </c>
      <c r="Q9" s="145">
        <v>0.71856874999999998</v>
      </c>
      <c r="R9" s="145">
        <v>0.90753519917492143</v>
      </c>
      <c r="S9" s="147">
        <f t="shared" si="5"/>
        <v>90.753519917492142</v>
      </c>
    </row>
    <row r="10" spans="1:19">
      <c r="A10" s="138">
        <f t="shared" si="0"/>
        <v>0.51582300000000003</v>
      </c>
      <c r="B10" s="138">
        <v>515.82299999999998</v>
      </c>
      <c r="C10" s="138">
        <v>84.73</v>
      </c>
      <c r="D10" s="138">
        <v>15.27</v>
      </c>
      <c r="E10" s="138">
        <v>85.7</v>
      </c>
      <c r="F10" s="138">
        <v>14.3</v>
      </c>
      <c r="G10" s="138">
        <f t="shared" si="1"/>
        <v>84.73</v>
      </c>
      <c r="H10" s="138">
        <v>1</v>
      </c>
      <c r="I10" s="138">
        <v>1</v>
      </c>
      <c r="J10" s="145">
        <f t="shared" si="2"/>
        <v>0.80171616189999995</v>
      </c>
      <c r="K10" s="149">
        <f t="shared" si="3"/>
        <v>70</v>
      </c>
      <c r="M10" s="138">
        <v>0.65</v>
      </c>
      <c r="N10" s="138">
        <f t="shared" si="4"/>
        <v>650</v>
      </c>
      <c r="O10" s="138">
        <v>0.97</v>
      </c>
      <c r="P10" s="138">
        <v>0.91999999999999993</v>
      </c>
      <c r="Q10" s="145">
        <v>0.7262249999999999</v>
      </c>
      <c r="R10" s="145">
        <v>0.89961772898749448</v>
      </c>
      <c r="S10" s="147">
        <f t="shared" si="5"/>
        <v>89.961772898749444</v>
      </c>
    </row>
    <row r="11" spans="1:19">
      <c r="A11" s="138">
        <f t="shared" si="0"/>
        <v>0.51898699999999998</v>
      </c>
      <c r="B11" s="138">
        <v>518.98699999999997</v>
      </c>
      <c r="C11" s="138">
        <v>85.210999999999999</v>
      </c>
      <c r="D11" s="138">
        <v>14.789</v>
      </c>
      <c r="E11" s="138">
        <v>86.08</v>
      </c>
      <c r="F11" s="138">
        <v>13.92</v>
      </c>
      <c r="G11" s="138">
        <f t="shared" si="1"/>
        <v>85.210999999999999</v>
      </c>
      <c r="H11" s="138">
        <v>1</v>
      </c>
      <c r="I11" s="138">
        <v>1</v>
      </c>
      <c r="J11" s="145">
        <f t="shared" si="2"/>
        <v>0.80204933109999998</v>
      </c>
      <c r="K11" s="149">
        <f t="shared" si="3"/>
        <v>70</v>
      </c>
      <c r="M11" s="138">
        <v>0.71250000000000002</v>
      </c>
      <c r="N11" s="138">
        <f t="shared" si="4"/>
        <v>712.5</v>
      </c>
      <c r="O11" s="138">
        <v>0.93500000000000005</v>
      </c>
      <c r="P11" s="138">
        <v>0.88500000000000001</v>
      </c>
      <c r="Q11" s="145">
        <v>0.73388124999999993</v>
      </c>
      <c r="R11" s="145">
        <v>0.87942917606920457</v>
      </c>
      <c r="S11" s="147">
        <f t="shared" si="5"/>
        <v>87.94291760692046</v>
      </c>
    </row>
    <row r="12" spans="1:19">
      <c r="A12" s="138">
        <f t="shared" si="0"/>
        <v>0.52215200000000006</v>
      </c>
      <c r="B12" s="138">
        <v>522.15200000000004</v>
      </c>
      <c r="C12" s="138">
        <v>85.707999999999998</v>
      </c>
      <c r="D12" s="138">
        <v>14.292</v>
      </c>
      <c r="E12" s="138">
        <v>86.474000000000004</v>
      </c>
      <c r="F12" s="138">
        <v>13.526</v>
      </c>
      <c r="G12" s="138">
        <f t="shared" si="1"/>
        <v>85.707999999999998</v>
      </c>
      <c r="H12" s="138">
        <v>1</v>
      </c>
      <c r="I12" s="138">
        <v>1</v>
      </c>
      <c r="J12" s="145">
        <f t="shared" si="2"/>
        <v>0.80238260559999997</v>
      </c>
      <c r="K12" s="149">
        <f t="shared" si="3"/>
        <v>70</v>
      </c>
      <c r="M12" s="138">
        <v>0.77500000000000002</v>
      </c>
      <c r="N12" s="138">
        <f t="shared" si="4"/>
        <v>775</v>
      </c>
      <c r="O12" s="138">
        <v>0.9</v>
      </c>
      <c r="P12" s="138">
        <v>0.85</v>
      </c>
      <c r="Q12" s="145">
        <v>0.74153749999999996</v>
      </c>
      <c r="R12" s="145">
        <v>0.8581856016154259</v>
      </c>
      <c r="S12" s="147">
        <f t="shared" si="5"/>
        <v>85.818560161542592</v>
      </c>
    </row>
    <row r="13" spans="1:19">
      <c r="A13" s="138">
        <f t="shared" si="0"/>
        <v>0.52531600000000001</v>
      </c>
      <c r="B13" s="138">
        <v>525.31600000000003</v>
      </c>
      <c r="C13" s="138">
        <v>86.218000000000004</v>
      </c>
      <c r="D13" s="138">
        <v>13.782</v>
      </c>
      <c r="E13" s="138">
        <v>86.881</v>
      </c>
      <c r="F13" s="138">
        <v>13.119</v>
      </c>
      <c r="G13" s="138">
        <f t="shared" si="1"/>
        <v>86.218000000000004</v>
      </c>
      <c r="H13" s="138">
        <v>1</v>
      </c>
      <c r="I13" s="138">
        <v>1</v>
      </c>
      <c r="J13" s="145">
        <f t="shared" si="2"/>
        <v>0.8027157748</v>
      </c>
      <c r="K13" s="149">
        <f t="shared" si="3"/>
        <v>70</v>
      </c>
      <c r="M13" s="138">
        <v>0.83750000000000002</v>
      </c>
      <c r="N13" s="138">
        <f t="shared" si="4"/>
        <v>837.5</v>
      </c>
      <c r="O13" s="138">
        <v>0.88500000000000001</v>
      </c>
      <c r="P13" s="138">
        <v>0.83499999999999996</v>
      </c>
      <c r="Q13" s="145">
        <v>0.74919374999999999</v>
      </c>
      <c r="R13" s="145">
        <v>0.84252022349877509</v>
      </c>
      <c r="S13" s="147">
        <f t="shared" si="5"/>
        <v>84.252022349877507</v>
      </c>
    </row>
    <row r="14" spans="1:19">
      <c r="A14" s="138">
        <f t="shared" si="0"/>
        <v>0.52848099999999998</v>
      </c>
      <c r="B14" s="138">
        <v>528.48099999999999</v>
      </c>
      <c r="C14" s="138">
        <v>86.739000000000004</v>
      </c>
      <c r="D14" s="138">
        <v>13.260999999999999</v>
      </c>
      <c r="E14" s="138">
        <v>87.296999999999997</v>
      </c>
      <c r="F14" s="138">
        <v>12.702999999999999</v>
      </c>
      <c r="G14" s="138">
        <f t="shared" si="1"/>
        <v>86.739000000000004</v>
      </c>
      <c r="H14" s="138">
        <v>1</v>
      </c>
      <c r="I14" s="138">
        <v>1</v>
      </c>
      <c r="J14" s="145">
        <f t="shared" si="2"/>
        <v>0.80304904929999998</v>
      </c>
      <c r="K14" s="149">
        <f t="shared" si="3"/>
        <v>70</v>
      </c>
      <c r="M14" s="138">
        <v>0.9</v>
      </c>
      <c r="N14" s="138">
        <f t="shared" si="4"/>
        <v>900</v>
      </c>
      <c r="O14" s="138">
        <v>0.88</v>
      </c>
      <c r="P14" s="138">
        <v>0.83</v>
      </c>
      <c r="Q14" s="145">
        <v>0.75684999999999991</v>
      </c>
      <c r="R14" s="145">
        <v>0.83552664479999095</v>
      </c>
      <c r="S14" s="147">
        <f t="shared" si="5"/>
        <v>83.552664479999095</v>
      </c>
    </row>
    <row r="15" spans="1:19">
      <c r="A15" s="138">
        <f t="shared" si="0"/>
        <v>0.53164599999999995</v>
      </c>
      <c r="B15" s="138">
        <v>531.64599999999996</v>
      </c>
      <c r="C15" s="138">
        <v>87.266999999999996</v>
      </c>
      <c r="D15" s="138">
        <v>12.733000000000001</v>
      </c>
      <c r="E15" s="138">
        <v>87.72</v>
      </c>
      <c r="F15" s="138">
        <v>12.28</v>
      </c>
      <c r="G15" s="138">
        <f t="shared" si="1"/>
        <v>87.266999999999996</v>
      </c>
      <c r="H15" s="138">
        <v>1</v>
      </c>
      <c r="I15" s="138">
        <v>1</v>
      </c>
      <c r="J15" s="145">
        <f t="shared" si="2"/>
        <v>0.80338232379999996</v>
      </c>
      <c r="K15" s="149">
        <f t="shared" si="3"/>
        <v>70</v>
      </c>
      <c r="M15" s="138">
        <v>0.96250000000000002</v>
      </c>
      <c r="N15" s="138">
        <f t="shared" si="4"/>
        <v>962.5</v>
      </c>
      <c r="O15" s="138">
        <v>0.89250000000000007</v>
      </c>
      <c r="P15" s="138">
        <v>0.84250000000000003</v>
      </c>
      <c r="Q15" s="145">
        <v>0.76450624999999994</v>
      </c>
      <c r="R15" s="145">
        <v>0.83769191006712962</v>
      </c>
      <c r="S15" s="147">
        <f t="shared" si="5"/>
        <v>83.769191006712958</v>
      </c>
    </row>
    <row r="16" spans="1:19">
      <c r="A16" s="138">
        <f t="shared" si="0"/>
        <v>0.5348099999999999</v>
      </c>
      <c r="B16" s="138">
        <v>534.80999999999995</v>
      </c>
      <c r="C16" s="138">
        <v>87.801000000000002</v>
      </c>
      <c r="D16" s="138">
        <v>12.199</v>
      </c>
      <c r="E16" s="138">
        <v>88.149000000000001</v>
      </c>
      <c r="F16" s="138">
        <v>11.851000000000001</v>
      </c>
      <c r="G16" s="138">
        <f t="shared" si="1"/>
        <v>87.801000000000002</v>
      </c>
      <c r="H16" s="138">
        <v>1</v>
      </c>
      <c r="I16" s="138">
        <v>1</v>
      </c>
      <c r="J16" s="145">
        <f t="shared" si="2"/>
        <v>0.80371549299999989</v>
      </c>
      <c r="K16" s="149">
        <f t="shared" si="3"/>
        <v>70</v>
      </c>
      <c r="M16" s="138">
        <v>1.0249999999999999</v>
      </c>
      <c r="N16" s="138">
        <f t="shared" si="4"/>
        <v>1025</v>
      </c>
      <c r="O16" s="138">
        <v>0.90500000000000003</v>
      </c>
      <c r="P16" s="138">
        <v>0.85499999999999998</v>
      </c>
      <c r="Q16" s="145">
        <v>0.77216249999999997</v>
      </c>
      <c r="R16" s="145">
        <v>0.84771938930292468</v>
      </c>
      <c r="S16" s="147">
        <f t="shared" si="5"/>
        <v>84.771938930292464</v>
      </c>
    </row>
    <row r="17" spans="1:19">
      <c r="A17" s="138">
        <f t="shared" si="0"/>
        <v>0.53797499999999998</v>
      </c>
      <c r="B17" s="138">
        <v>537.97500000000002</v>
      </c>
      <c r="C17" s="138">
        <v>88.337000000000003</v>
      </c>
      <c r="D17" s="138">
        <v>11.663</v>
      </c>
      <c r="E17" s="138">
        <v>88.581999999999994</v>
      </c>
      <c r="F17" s="138">
        <v>11.417999999999999</v>
      </c>
      <c r="G17" s="138">
        <f t="shared" si="1"/>
        <v>88.337000000000003</v>
      </c>
      <c r="H17" s="138">
        <v>1</v>
      </c>
      <c r="I17" s="138">
        <v>1</v>
      </c>
      <c r="J17" s="145">
        <f t="shared" si="2"/>
        <v>0.80404876749999998</v>
      </c>
      <c r="K17" s="149">
        <f t="shared" si="3"/>
        <v>70</v>
      </c>
      <c r="M17" s="138">
        <v>1.0874999999999999</v>
      </c>
      <c r="N17" s="138">
        <f t="shared" si="4"/>
        <v>1087.5</v>
      </c>
      <c r="O17" s="138">
        <v>0.92249999999999999</v>
      </c>
      <c r="P17" s="138">
        <v>0.87249999999999994</v>
      </c>
      <c r="Q17" s="145">
        <v>0.77981875</v>
      </c>
      <c r="R17" s="145">
        <v>0.86324148968054448</v>
      </c>
      <c r="S17" s="147">
        <f t="shared" si="5"/>
        <v>86.324148968054445</v>
      </c>
    </row>
    <row r="18" spans="1:19">
      <c r="A18" s="138">
        <f t="shared" si="0"/>
        <v>0.54113900000000004</v>
      </c>
      <c r="B18" s="138">
        <v>541.13900000000001</v>
      </c>
      <c r="C18" s="138">
        <v>88.873999999999995</v>
      </c>
      <c r="D18" s="138">
        <v>11.125999999999999</v>
      </c>
      <c r="E18" s="138">
        <v>89.016000000000005</v>
      </c>
      <c r="F18" s="138">
        <v>10.984</v>
      </c>
      <c r="G18" s="138">
        <f t="shared" si="1"/>
        <v>88.873999999999995</v>
      </c>
      <c r="H18" s="138">
        <v>1</v>
      </c>
      <c r="I18" s="138">
        <v>1</v>
      </c>
      <c r="J18" s="145">
        <f t="shared" si="2"/>
        <v>0.80438193669999991</v>
      </c>
      <c r="K18" s="149">
        <f t="shared" si="3"/>
        <v>70</v>
      </c>
      <c r="M18" s="138">
        <v>1.1499999999999999</v>
      </c>
      <c r="N18" s="138">
        <f t="shared" si="4"/>
        <v>1150</v>
      </c>
      <c r="O18" s="138">
        <v>0.94</v>
      </c>
      <c r="P18" s="138">
        <v>0.8899999999999999</v>
      </c>
      <c r="Q18" s="145">
        <v>0.78747499999999993</v>
      </c>
      <c r="R18" s="145">
        <v>0.88142219498748986</v>
      </c>
      <c r="S18" s="147">
        <f t="shared" si="5"/>
        <v>88.142219498748986</v>
      </c>
    </row>
    <row r="19" spans="1:19">
      <c r="A19" s="138">
        <f t="shared" si="0"/>
        <v>0.54430400000000001</v>
      </c>
      <c r="B19" s="138">
        <v>544.30399999999997</v>
      </c>
      <c r="C19" s="138">
        <v>89.409000000000006</v>
      </c>
      <c r="D19" s="138">
        <v>10.590999999999999</v>
      </c>
      <c r="E19" s="138">
        <v>89.45</v>
      </c>
      <c r="F19" s="138">
        <v>10.55</v>
      </c>
      <c r="G19" s="138">
        <f t="shared" si="1"/>
        <v>89.409000000000006</v>
      </c>
      <c r="H19" s="138">
        <v>1</v>
      </c>
      <c r="I19" s="138">
        <v>1</v>
      </c>
      <c r="J19" s="145">
        <f t="shared" si="2"/>
        <v>0.8047152112</v>
      </c>
      <c r="K19" s="149">
        <f t="shared" si="3"/>
        <v>70.387493741876284</v>
      </c>
      <c r="M19" s="138">
        <v>1.2124999999999999</v>
      </c>
      <c r="N19" s="138">
        <f t="shared" si="4"/>
        <v>1212.5</v>
      </c>
      <c r="O19" s="138">
        <v>0.95499999999999996</v>
      </c>
      <c r="P19" s="138">
        <v>0.90499999999999992</v>
      </c>
      <c r="Q19" s="145">
        <v>0.79513124999999996</v>
      </c>
      <c r="R19" s="145">
        <v>0.89944943279792433</v>
      </c>
      <c r="S19" s="147">
        <f t="shared" si="5"/>
        <v>89.944943279792426</v>
      </c>
    </row>
    <row r="20" spans="1:19">
      <c r="A20" s="138">
        <f t="shared" si="0"/>
        <v>0.54746799999999995</v>
      </c>
      <c r="B20" s="138">
        <v>547.46799999999996</v>
      </c>
      <c r="C20" s="138">
        <v>89.94</v>
      </c>
      <c r="D20" s="138">
        <v>10.06</v>
      </c>
      <c r="E20" s="138">
        <v>89.881</v>
      </c>
      <c r="F20" s="138">
        <v>10.119</v>
      </c>
      <c r="G20" s="138">
        <f t="shared" si="1"/>
        <v>89.881</v>
      </c>
      <c r="H20" s="138">
        <v>1</v>
      </c>
      <c r="I20" s="138">
        <v>1</v>
      </c>
      <c r="J20" s="145">
        <f t="shared" si="2"/>
        <v>0.80504838039999993</v>
      </c>
      <c r="K20" s="149">
        <f t="shared" si="3"/>
        <v>70.788372868243897</v>
      </c>
      <c r="M20" s="138">
        <v>1.2749999999999999</v>
      </c>
      <c r="N20" s="138">
        <f t="shared" si="4"/>
        <v>1275</v>
      </c>
      <c r="O20" s="138">
        <v>0.97</v>
      </c>
      <c r="P20" s="138">
        <v>0.91999999999999993</v>
      </c>
      <c r="Q20" s="145">
        <v>0.80278749999999999</v>
      </c>
      <c r="R20" s="145">
        <v>0.91491726937318418</v>
      </c>
      <c r="S20" s="147">
        <f t="shared" si="5"/>
        <v>91.491726937318418</v>
      </c>
    </row>
    <row r="21" spans="1:19">
      <c r="A21" s="138">
        <f t="shared" si="0"/>
        <v>0.55063300000000004</v>
      </c>
      <c r="B21" s="138">
        <v>550.63300000000004</v>
      </c>
      <c r="C21" s="138">
        <v>90.465000000000003</v>
      </c>
      <c r="D21" s="138">
        <v>9.5350000000000001</v>
      </c>
      <c r="E21" s="138">
        <v>90.307000000000002</v>
      </c>
      <c r="F21" s="138">
        <v>9.6929999999999996</v>
      </c>
      <c r="G21" s="138">
        <f t="shared" si="1"/>
        <v>90.307000000000002</v>
      </c>
      <c r="H21" s="138">
        <v>1</v>
      </c>
      <c r="I21" s="138">
        <v>1</v>
      </c>
      <c r="J21" s="145">
        <f t="shared" si="2"/>
        <v>0.80538165489999991</v>
      </c>
      <c r="K21" s="149">
        <f t="shared" si="3"/>
        <v>71.153325364987808</v>
      </c>
      <c r="M21" s="138">
        <v>1.3374999999999999</v>
      </c>
      <c r="N21" s="138">
        <f t="shared" si="4"/>
        <v>1337.5</v>
      </c>
      <c r="O21" s="138">
        <v>0.97499999999999998</v>
      </c>
      <c r="P21" s="138">
        <v>0.92499999999999993</v>
      </c>
      <c r="Q21" s="145">
        <v>0.81044374999999991</v>
      </c>
      <c r="R21" s="145">
        <v>0.92609793229053672</v>
      </c>
      <c r="S21" s="147">
        <f t="shared" si="5"/>
        <v>92.609793229053679</v>
      </c>
    </row>
    <row r="22" spans="1:19">
      <c r="A22" s="138">
        <f t="shared" si="0"/>
        <v>0.55379699999999998</v>
      </c>
      <c r="B22" s="138">
        <v>553.79700000000003</v>
      </c>
      <c r="C22" s="138">
        <v>90.980999999999995</v>
      </c>
      <c r="D22" s="138">
        <v>9.0190000000000001</v>
      </c>
      <c r="E22" s="138">
        <v>90.727999999999994</v>
      </c>
      <c r="F22" s="138">
        <v>9.2720000000000002</v>
      </c>
      <c r="G22" s="138">
        <f t="shared" si="1"/>
        <v>90.727999999999994</v>
      </c>
      <c r="H22" s="138">
        <v>1</v>
      </c>
      <c r="I22" s="138">
        <v>1</v>
      </c>
      <c r="J22" s="145">
        <f t="shared" si="2"/>
        <v>0.80571482409999995</v>
      </c>
      <c r="K22" s="149">
        <f t="shared" si="3"/>
        <v>71.514605148972294</v>
      </c>
      <c r="M22" s="138">
        <v>1.4</v>
      </c>
      <c r="N22" s="138">
        <f t="shared" si="4"/>
        <v>1400</v>
      </c>
      <c r="O22" s="138">
        <v>0.98</v>
      </c>
      <c r="P22" s="138">
        <v>0.92999999999999994</v>
      </c>
      <c r="Q22" s="145">
        <v>0.81809999999999994</v>
      </c>
      <c r="R22" s="145">
        <v>0.93210366079998863</v>
      </c>
      <c r="S22" s="147">
        <f t="shared" si="5"/>
        <v>93.210366079998863</v>
      </c>
    </row>
    <row r="23" spans="1:19">
      <c r="A23" s="138">
        <f t="shared" si="0"/>
        <v>0.55696199999999996</v>
      </c>
      <c r="B23" s="138">
        <v>556.96199999999999</v>
      </c>
      <c r="C23" s="138">
        <v>91.486000000000004</v>
      </c>
      <c r="D23" s="138">
        <v>8.5139999999999993</v>
      </c>
      <c r="E23" s="138">
        <v>91.141000000000005</v>
      </c>
      <c r="F23" s="138">
        <v>8.859</v>
      </c>
      <c r="G23" s="138">
        <f t="shared" si="1"/>
        <v>91.141000000000005</v>
      </c>
      <c r="H23" s="138">
        <v>1</v>
      </c>
      <c r="I23" s="138">
        <v>1</v>
      </c>
      <c r="J23" s="145">
        <f t="shared" si="2"/>
        <v>0.80604809859999993</v>
      </c>
      <c r="K23" s="149">
        <f t="shared" si="3"/>
        <v>71.8698603088299</v>
      </c>
      <c r="M23" s="138">
        <v>1.4624999999999999</v>
      </c>
      <c r="N23" s="138">
        <f t="shared" si="4"/>
        <v>1462.5</v>
      </c>
      <c r="O23" s="138">
        <v>0.98249999999999993</v>
      </c>
      <c r="P23" s="138">
        <v>0.93249999999999988</v>
      </c>
      <c r="Q23" s="145">
        <v>0.82575624999999997</v>
      </c>
      <c r="R23" s="145">
        <v>0.93293838391008066</v>
      </c>
      <c r="S23" s="147">
        <f t="shared" si="5"/>
        <v>93.293838391008066</v>
      </c>
    </row>
    <row r="24" spans="1:19">
      <c r="A24" s="138">
        <f t="shared" si="0"/>
        <v>0.56012699999999993</v>
      </c>
      <c r="B24" s="138">
        <v>560.12699999999995</v>
      </c>
      <c r="C24" s="138">
        <v>91.978999999999999</v>
      </c>
      <c r="D24" s="138">
        <v>8.0210000000000008</v>
      </c>
      <c r="E24" s="138">
        <v>91.545000000000002</v>
      </c>
      <c r="F24" s="138">
        <v>8.4550000000000001</v>
      </c>
      <c r="G24" s="138">
        <f t="shared" si="1"/>
        <v>91.545000000000002</v>
      </c>
      <c r="H24" s="138">
        <v>1</v>
      </c>
      <c r="I24" s="138">
        <v>1</v>
      </c>
      <c r="J24" s="145">
        <f t="shared" si="2"/>
        <v>0.80638137309999991</v>
      </c>
      <c r="K24" s="149">
        <f t="shared" si="3"/>
        <v>72.218284833669955</v>
      </c>
      <c r="M24" s="138">
        <v>1.5249999999999999</v>
      </c>
      <c r="N24" s="138">
        <f t="shared" si="4"/>
        <v>1525</v>
      </c>
      <c r="O24" s="138">
        <v>0.98499999999999999</v>
      </c>
      <c r="P24" s="138">
        <v>0.93499999999999994</v>
      </c>
      <c r="Q24" s="145">
        <v>0.83341249999999989</v>
      </c>
      <c r="R24" s="145">
        <v>0.92943922620133179</v>
      </c>
      <c r="S24" s="147">
        <f t="shared" si="5"/>
        <v>92.943922620133179</v>
      </c>
    </row>
    <row r="25" spans="1:19">
      <c r="A25" s="138">
        <f t="shared" si="0"/>
        <v>0.5632910000000001</v>
      </c>
      <c r="B25" s="138">
        <v>563.29100000000005</v>
      </c>
      <c r="C25" s="138">
        <v>92.457999999999998</v>
      </c>
      <c r="D25" s="138">
        <v>7.5419999999999998</v>
      </c>
      <c r="E25" s="138">
        <v>91.938000000000002</v>
      </c>
      <c r="F25" s="138">
        <v>8.0619999999999994</v>
      </c>
      <c r="G25" s="138">
        <f t="shared" si="1"/>
        <v>91.938000000000002</v>
      </c>
      <c r="H25" s="138">
        <v>1</v>
      </c>
      <c r="I25" s="138">
        <v>1</v>
      </c>
      <c r="J25" s="145">
        <f t="shared" si="2"/>
        <v>0.80671454229999995</v>
      </c>
      <c r="K25" s="149">
        <f t="shared" si="3"/>
        <v>72.558282031474889</v>
      </c>
      <c r="M25" s="138">
        <v>1.5874999999999999</v>
      </c>
      <c r="N25" s="138">
        <f t="shared" si="4"/>
        <v>1587.5</v>
      </c>
      <c r="O25" s="138">
        <v>0.98</v>
      </c>
      <c r="P25" s="138">
        <v>0.92999999999999994</v>
      </c>
      <c r="Q25" s="145">
        <v>0.84106874999999992</v>
      </c>
      <c r="R25" s="145">
        <v>0.92310784136778068</v>
      </c>
      <c r="S25" s="147">
        <f t="shared" si="5"/>
        <v>92.310784136778068</v>
      </c>
    </row>
    <row r="26" spans="1:19">
      <c r="A26" s="138">
        <f t="shared" si="0"/>
        <v>0.56645600000000007</v>
      </c>
      <c r="B26" s="138">
        <v>566.45600000000002</v>
      </c>
      <c r="C26" s="138">
        <v>92.921000000000006</v>
      </c>
      <c r="D26" s="138">
        <v>7.0789999999999997</v>
      </c>
      <c r="E26" s="138">
        <v>92.319000000000003</v>
      </c>
      <c r="F26" s="138">
        <v>7.681</v>
      </c>
      <c r="G26" s="138">
        <f t="shared" si="1"/>
        <v>92.319000000000003</v>
      </c>
      <c r="H26" s="138">
        <v>1</v>
      </c>
      <c r="I26" s="138">
        <v>1</v>
      </c>
      <c r="J26" s="145">
        <f t="shared" si="2"/>
        <v>0.80704781679999993</v>
      </c>
      <c r="K26" s="149">
        <f t="shared" si="3"/>
        <v>72.889070510597435</v>
      </c>
      <c r="M26" s="138">
        <v>1.65</v>
      </c>
      <c r="N26" s="138">
        <f t="shared" si="4"/>
        <v>1650</v>
      </c>
      <c r="O26" s="138">
        <v>0.97499999999999998</v>
      </c>
      <c r="P26" s="138">
        <v>0.92499999999999993</v>
      </c>
      <c r="Q26" s="145">
        <v>0.84872499999999995</v>
      </c>
      <c r="R26" s="145">
        <v>0.91583157348747335</v>
      </c>
      <c r="S26" s="147">
        <f t="shared" si="5"/>
        <v>91.583157348747335</v>
      </c>
    </row>
    <row r="27" spans="1:19">
      <c r="A27" s="138">
        <f t="shared" si="0"/>
        <v>0.56962000000000002</v>
      </c>
      <c r="B27" s="138">
        <v>569.62</v>
      </c>
      <c r="C27" s="138">
        <v>93.366</v>
      </c>
      <c r="D27" s="138">
        <v>6.6340000000000003</v>
      </c>
      <c r="E27" s="138">
        <v>92.686999999999998</v>
      </c>
      <c r="F27" s="138">
        <v>7.3129999999999997</v>
      </c>
      <c r="G27" s="138">
        <f t="shared" si="1"/>
        <v>92.686999999999998</v>
      </c>
      <c r="H27" s="138">
        <v>1</v>
      </c>
      <c r="I27" s="138">
        <v>1</v>
      </c>
      <c r="J27" s="145">
        <f t="shared" si="2"/>
        <v>0.80738098599999997</v>
      </c>
      <c r="K27" s="149">
        <f t="shared" si="3"/>
        <v>73.209829693930402</v>
      </c>
      <c r="M27" s="138">
        <v>1.7124999999999999</v>
      </c>
      <c r="N27" s="138">
        <f t="shared" si="4"/>
        <v>1712.5</v>
      </c>
      <c r="O27" s="138">
        <v>0.97</v>
      </c>
      <c r="P27" s="138">
        <v>0.91999999999999993</v>
      </c>
      <c r="Q27" s="145">
        <v>0.85638124999999987</v>
      </c>
      <c r="R27" s="145">
        <v>0.90949444602087226</v>
      </c>
      <c r="S27" s="147">
        <f t="shared" si="5"/>
        <v>90.949444602087226</v>
      </c>
    </row>
    <row r="28" spans="1:19">
      <c r="A28" s="138">
        <f t="shared" si="0"/>
        <v>0.57278499999999999</v>
      </c>
      <c r="B28" s="138">
        <v>572.78499999999997</v>
      </c>
      <c r="C28" s="138">
        <v>93.792000000000002</v>
      </c>
      <c r="D28" s="138">
        <v>6.2080000000000002</v>
      </c>
      <c r="E28" s="138">
        <v>93.040999999999997</v>
      </c>
      <c r="F28" s="138">
        <v>6.9589999999999996</v>
      </c>
      <c r="G28" s="138">
        <f t="shared" si="1"/>
        <v>93.040999999999997</v>
      </c>
      <c r="H28" s="138">
        <v>1</v>
      </c>
      <c r="I28" s="138">
        <v>1</v>
      </c>
      <c r="J28" s="145">
        <f t="shared" si="2"/>
        <v>0.80771426049999995</v>
      </c>
      <c r="K28" s="149">
        <f t="shared" si="3"/>
        <v>73.519775738687869</v>
      </c>
      <c r="M28" s="138">
        <v>1.7749999999999999</v>
      </c>
      <c r="N28" s="138">
        <f t="shared" si="4"/>
        <v>1775</v>
      </c>
      <c r="O28" s="138">
        <v>0.96499999999999997</v>
      </c>
      <c r="P28" s="138">
        <v>0.91499999999999992</v>
      </c>
      <c r="Q28" s="145">
        <v>0.8640374999999999</v>
      </c>
      <c r="R28" s="145">
        <v>0.90547797853716361</v>
      </c>
      <c r="S28" s="147">
        <f t="shared" si="5"/>
        <v>90.547797853716361</v>
      </c>
    </row>
    <row r="29" spans="1:19">
      <c r="A29" s="138">
        <f t="shared" si="0"/>
        <v>0.57594899999999993</v>
      </c>
      <c r="B29" s="138">
        <v>575.94899999999996</v>
      </c>
      <c r="C29" s="138">
        <v>94.197999999999993</v>
      </c>
      <c r="D29" s="138">
        <v>5.8019999999999996</v>
      </c>
      <c r="E29" s="138">
        <v>93.379000000000005</v>
      </c>
      <c r="F29" s="138">
        <v>6.6210000000000004</v>
      </c>
      <c r="G29" s="138">
        <f t="shared" si="1"/>
        <v>93.379000000000005</v>
      </c>
      <c r="H29" s="138">
        <v>1</v>
      </c>
      <c r="I29" s="138">
        <v>1</v>
      </c>
      <c r="J29" s="145">
        <f t="shared" si="2"/>
        <v>0.80804742969999999</v>
      </c>
      <c r="K29" s="149">
        <f t="shared" si="3"/>
        <v>73.817294795602663</v>
      </c>
      <c r="M29" s="138">
        <v>1.8374999999999999</v>
      </c>
      <c r="N29" s="138">
        <f t="shared" si="4"/>
        <v>1837.5</v>
      </c>
      <c r="O29" s="138">
        <v>0.96</v>
      </c>
      <c r="P29" s="138">
        <v>0.90999999999999992</v>
      </c>
      <c r="Q29" s="145">
        <v>0.87169374999999993</v>
      </c>
      <c r="R29" s="145">
        <v>0.90405183117016463</v>
      </c>
      <c r="S29" s="147">
        <f t="shared" si="5"/>
        <v>90.405183117016463</v>
      </c>
    </row>
    <row r="30" spans="1:19">
      <c r="A30" s="138">
        <f t="shared" si="0"/>
        <v>0.57911400000000002</v>
      </c>
      <c r="B30" s="138">
        <v>579.11400000000003</v>
      </c>
      <c r="C30" s="138">
        <v>94.582999999999998</v>
      </c>
      <c r="D30" s="138">
        <v>5.4169999999999998</v>
      </c>
      <c r="E30" s="138">
        <v>93.7</v>
      </c>
      <c r="F30" s="138">
        <v>6.3</v>
      </c>
      <c r="G30" s="138">
        <f t="shared" si="1"/>
        <v>93.7</v>
      </c>
      <c r="H30" s="138">
        <v>1</v>
      </c>
      <c r="I30" s="138">
        <v>1</v>
      </c>
      <c r="J30" s="145">
        <f t="shared" si="2"/>
        <v>0.80838070419999997</v>
      </c>
      <c r="K30" s="149">
        <f t="shared" si="3"/>
        <v>74.101599581497169</v>
      </c>
      <c r="M30" s="138">
        <v>1.9</v>
      </c>
      <c r="N30" s="138">
        <f t="shared" si="4"/>
        <v>1900</v>
      </c>
      <c r="O30" s="138">
        <v>0.95499999999999996</v>
      </c>
      <c r="P30" s="138">
        <v>0.90499999999999992</v>
      </c>
      <c r="Q30" s="145">
        <v>0.87934999999999997</v>
      </c>
      <c r="R30" s="145">
        <v>0.90365427679972754</v>
      </c>
      <c r="S30" s="147">
        <f t="shared" si="5"/>
        <v>90.365427679972754</v>
      </c>
    </row>
    <row r="31" spans="1:19">
      <c r="A31" s="138">
        <f t="shared" si="0"/>
        <v>0.58227800000000007</v>
      </c>
      <c r="B31" s="138">
        <v>582.27800000000002</v>
      </c>
      <c r="C31" s="138">
        <v>94.944999999999993</v>
      </c>
      <c r="D31" s="138">
        <v>5.0549999999999997</v>
      </c>
      <c r="E31" s="138">
        <v>94.004000000000005</v>
      </c>
      <c r="F31" s="138">
        <v>5.9960000000000004</v>
      </c>
      <c r="G31" s="138">
        <f t="shared" si="1"/>
        <v>94.004000000000005</v>
      </c>
      <c r="H31" s="138">
        <v>1</v>
      </c>
      <c r="I31" s="138">
        <v>1</v>
      </c>
      <c r="J31" s="145">
        <f t="shared" si="2"/>
        <v>0.80871387340000001</v>
      </c>
      <c r="K31" s="149">
        <f t="shared" si="3"/>
        <v>74.372654199768064</v>
      </c>
      <c r="M31" s="138">
        <v>1.9624999999999999</v>
      </c>
      <c r="N31" s="138">
        <f t="shared" si="4"/>
        <v>1962.5</v>
      </c>
      <c r="O31" s="138">
        <v>0.95</v>
      </c>
      <c r="P31" s="138">
        <v>0.89999999999999991</v>
      </c>
      <c r="Q31" s="145">
        <v>0.88700625</v>
      </c>
      <c r="R31" s="145">
        <v>0.90006250096601548</v>
      </c>
      <c r="S31" s="147">
        <f t="shared" si="5"/>
        <v>90.006250096601548</v>
      </c>
    </row>
    <row r="32" spans="1:19">
      <c r="A32" s="138">
        <f t="shared" si="0"/>
        <v>0.58544299999999994</v>
      </c>
      <c r="B32" s="138">
        <v>585.44299999999998</v>
      </c>
      <c r="C32" s="138">
        <v>95.284000000000006</v>
      </c>
      <c r="D32" s="138">
        <v>4.7160000000000002</v>
      </c>
      <c r="E32" s="138">
        <v>94.29</v>
      </c>
      <c r="F32" s="138">
        <v>5.71</v>
      </c>
      <c r="G32" s="138">
        <f t="shared" si="1"/>
        <v>94.29</v>
      </c>
      <c r="H32" s="138">
        <v>1</v>
      </c>
      <c r="I32" s="138">
        <v>1</v>
      </c>
      <c r="J32" s="145">
        <f t="shared" si="2"/>
        <v>0.80904714789999999</v>
      </c>
      <c r="K32" s="149">
        <f t="shared" si="3"/>
        <v>74.629669869502834</v>
      </c>
      <c r="M32" s="138">
        <v>2.0249999999999999</v>
      </c>
      <c r="N32" s="138">
        <f t="shared" si="4"/>
        <v>2025</v>
      </c>
      <c r="O32" s="138">
        <v>0.94499999999999995</v>
      </c>
      <c r="P32" s="138">
        <v>0.89499999999999991</v>
      </c>
      <c r="Q32" s="145">
        <v>0.89466249999999992</v>
      </c>
      <c r="R32" s="145">
        <v>0.88545272950585741</v>
      </c>
      <c r="S32" s="147">
        <f t="shared" si="5"/>
        <v>88.545272950585741</v>
      </c>
    </row>
    <row r="33" spans="1:11">
      <c r="A33" s="138">
        <f t="shared" si="0"/>
        <v>0.58860799999999991</v>
      </c>
      <c r="B33" s="138">
        <v>588.60799999999995</v>
      </c>
      <c r="C33" s="138">
        <v>95.597999999999999</v>
      </c>
      <c r="D33" s="138">
        <v>4.4020000000000001</v>
      </c>
      <c r="E33" s="138">
        <v>94.558000000000007</v>
      </c>
      <c r="F33" s="138">
        <v>5.4420000000000002</v>
      </c>
      <c r="G33" s="138">
        <f t="shared" si="1"/>
        <v>94.558000000000007</v>
      </c>
      <c r="H33" s="138">
        <v>1</v>
      </c>
      <c r="I33" s="138">
        <v>1</v>
      </c>
      <c r="J33" s="145">
        <f t="shared" si="2"/>
        <v>0.80938042239999997</v>
      </c>
      <c r="K33" s="149">
        <f t="shared" si="3"/>
        <v>74.872619331905014</v>
      </c>
    </row>
    <row r="34" spans="1:11">
      <c r="A34" s="138">
        <f t="shared" si="0"/>
        <v>0.59177200000000008</v>
      </c>
      <c r="B34" s="138">
        <v>591.77200000000005</v>
      </c>
      <c r="C34" s="138">
        <v>95.888000000000005</v>
      </c>
      <c r="D34" s="138">
        <v>4.1120000000000001</v>
      </c>
      <c r="E34" s="138">
        <v>94.805999999999997</v>
      </c>
      <c r="F34" s="138">
        <v>5.194</v>
      </c>
      <c r="G34" s="138">
        <f t="shared" si="1"/>
        <v>94.805999999999997</v>
      </c>
      <c r="H34" s="138">
        <v>1</v>
      </c>
      <c r="I34" s="138">
        <v>1</v>
      </c>
      <c r="J34" s="145">
        <f t="shared" si="2"/>
        <v>0.8097135916</v>
      </c>
      <c r="K34" s="149">
        <f t="shared" si="3"/>
        <v>75.099890928424117</v>
      </c>
    </row>
    <row r="35" spans="1:11">
      <c r="A35" s="138">
        <f t="shared" si="0"/>
        <v>0.59493700000000005</v>
      </c>
      <c r="B35" s="138">
        <v>594.93700000000001</v>
      </c>
      <c r="C35" s="138">
        <v>96.153000000000006</v>
      </c>
      <c r="D35" s="138">
        <v>3.847</v>
      </c>
      <c r="E35" s="138">
        <v>95.034999999999997</v>
      </c>
      <c r="F35" s="138">
        <v>4.9649999999999999</v>
      </c>
      <c r="G35" s="138">
        <f t="shared" si="1"/>
        <v>95.034999999999997</v>
      </c>
      <c r="H35" s="138">
        <v>1</v>
      </c>
      <c r="I35" s="138">
        <v>1</v>
      </c>
      <c r="J35" s="145">
        <f t="shared" si="2"/>
        <v>0.81004686609999998</v>
      </c>
      <c r="K35" s="149">
        <f t="shared" si="3"/>
        <v>75.312277074753538</v>
      </c>
    </row>
    <row r="36" spans="1:11">
      <c r="A36" s="138">
        <f t="shared" si="0"/>
        <v>0.59810099999999999</v>
      </c>
      <c r="B36" s="138">
        <v>598.101</v>
      </c>
      <c r="C36" s="138">
        <v>96.391999999999996</v>
      </c>
      <c r="D36" s="138">
        <v>3.6080000000000001</v>
      </c>
      <c r="E36" s="138">
        <v>95.244</v>
      </c>
      <c r="F36" s="138">
        <v>4.7560000000000002</v>
      </c>
      <c r="G36" s="138">
        <f t="shared" si="1"/>
        <v>95.244</v>
      </c>
      <c r="H36" s="138">
        <v>1</v>
      </c>
      <c r="I36" s="138">
        <v>1</v>
      </c>
      <c r="J36" s="145">
        <f t="shared" si="2"/>
        <v>0.81038003529999991</v>
      </c>
      <c r="K36" s="149">
        <f t="shared" si="3"/>
        <v>75.508946839131326</v>
      </c>
    </row>
    <row r="37" spans="1:11">
      <c r="A37" s="138">
        <f t="shared" si="0"/>
        <v>0.60126599999999997</v>
      </c>
      <c r="B37" s="138">
        <v>601.26599999999996</v>
      </c>
      <c r="C37" s="138">
        <v>96.605000000000004</v>
      </c>
      <c r="D37" s="138">
        <v>3.395</v>
      </c>
      <c r="E37" s="138">
        <v>95.433000000000007</v>
      </c>
      <c r="F37" s="138">
        <v>4.5670000000000002</v>
      </c>
      <c r="G37" s="138">
        <f t="shared" si="1"/>
        <v>95.433000000000007</v>
      </c>
      <c r="H37" s="138">
        <v>1</v>
      </c>
      <c r="I37" s="138">
        <v>1</v>
      </c>
      <c r="J37" s="145">
        <f t="shared" si="2"/>
        <v>0.81071330979999989</v>
      </c>
      <c r="K37" s="149">
        <f t="shared" si="3"/>
        <v>75.689900262660473</v>
      </c>
    </row>
    <row r="38" spans="1:11">
      <c r="A38" s="138">
        <f t="shared" si="0"/>
        <v>0.60442999999999991</v>
      </c>
      <c r="B38" s="138">
        <v>604.42999999999995</v>
      </c>
      <c r="C38" s="138">
        <v>96.793000000000006</v>
      </c>
      <c r="D38" s="138">
        <v>3.2069999999999999</v>
      </c>
      <c r="E38" s="138">
        <v>95.602000000000004</v>
      </c>
      <c r="F38" s="138">
        <v>4.3979999999999997</v>
      </c>
      <c r="G38" s="138">
        <f t="shared" si="1"/>
        <v>95.602000000000004</v>
      </c>
      <c r="H38" s="138">
        <v>1</v>
      </c>
      <c r="I38" s="138">
        <v>1</v>
      </c>
      <c r="J38" s="145">
        <f t="shared" si="2"/>
        <v>0.81104647899999993</v>
      </c>
      <c r="K38" s="149">
        <f t="shared" si="3"/>
        <v>75.855098144325723</v>
      </c>
    </row>
    <row r="39" spans="1:11">
      <c r="A39" s="138">
        <f t="shared" si="0"/>
        <v>0.607595</v>
      </c>
      <c r="B39" s="138">
        <v>607.59500000000003</v>
      </c>
      <c r="C39" s="138">
        <v>96.953999999999994</v>
      </c>
      <c r="D39" s="138">
        <v>3.0459999999999998</v>
      </c>
      <c r="E39" s="138">
        <v>95.751000000000005</v>
      </c>
      <c r="F39" s="138">
        <v>4.2489999999999997</v>
      </c>
      <c r="G39" s="138">
        <f t="shared" si="1"/>
        <v>95.751000000000005</v>
      </c>
      <c r="H39" s="138">
        <v>1</v>
      </c>
      <c r="I39" s="138">
        <v>1</v>
      </c>
      <c r="J39" s="145">
        <f t="shared" si="2"/>
        <v>0.81137975349999991</v>
      </c>
      <c r="K39" s="149">
        <f t="shared" si="3"/>
        <v>76.00454060310939</v>
      </c>
    </row>
    <row r="40" spans="1:11">
      <c r="A40" s="138">
        <f t="shared" si="0"/>
        <v>0.61075900000000005</v>
      </c>
      <c r="B40" s="138">
        <v>610.75900000000001</v>
      </c>
      <c r="C40" s="138">
        <v>97.09</v>
      </c>
      <c r="D40" s="138">
        <v>2.91</v>
      </c>
      <c r="E40" s="138">
        <v>95.88</v>
      </c>
      <c r="F40" s="138">
        <v>4.12</v>
      </c>
      <c r="G40" s="138">
        <f t="shared" si="1"/>
        <v>95.88</v>
      </c>
      <c r="H40" s="138">
        <v>1</v>
      </c>
      <c r="I40" s="138">
        <v>1</v>
      </c>
      <c r="J40" s="145">
        <f t="shared" si="2"/>
        <v>0.81171292269999995</v>
      </c>
      <c r="K40" s="149">
        <f t="shared" si="3"/>
        <v>76.138188368358058</v>
      </c>
    </row>
    <row r="41" spans="1:11">
      <c r="A41" s="138">
        <f t="shared" si="0"/>
        <v>0.61392400000000003</v>
      </c>
      <c r="B41" s="138">
        <v>613.92399999999998</v>
      </c>
      <c r="C41" s="138">
        <v>97.200999999999993</v>
      </c>
      <c r="D41" s="138">
        <v>2.7989999999999999</v>
      </c>
      <c r="E41" s="138">
        <v>95.99</v>
      </c>
      <c r="F41" s="138">
        <v>4.01</v>
      </c>
      <c r="G41" s="138">
        <f t="shared" si="1"/>
        <v>95.99</v>
      </c>
      <c r="H41" s="138">
        <v>1</v>
      </c>
      <c r="I41" s="138">
        <v>1</v>
      </c>
      <c r="J41" s="145">
        <f t="shared" si="2"/>
        <v>0.81204619719999993</v>
      </c>
      <c r="K41" s="149">
        <f t="shared" si="3"/>
        <v>76.256836045245748</v>
      </c>
    </row>
    <row r="42" spans="1:11">
      <c r="A42" s="138">
        <f t="shared" si="0"/>
        <v>0.61708900000000011</v>
      </c>
      <c r="B42" s="138">
        <v>617.08900000000006</v>
      </c>
      <c r="C42" s="138">
        <v>97.287000000000006</v>
      </c>
      <c r="D42" s="138">
        <v>2.7130000000000001</v>
      </c>
      <c r="E42" s="138">
        <v>96.078999999999994</v>
      </c>
      <c r="F42" s="138">
        <v>3.9209999999999998</v>
      </c>
      <c r="G42" s="138">
        <f t="shared" si="1"/>
        <v>96.078999999999994</v>
      </c>
      <c r="H42" s="138">
        <v>1</v>
      </c>
      <c r="I42" s="138">
        <v>1</v>
      </c>
      <c r="J42" s="145">
        <f t="shared" si="2"/>
        <v>0.81237947169999991</v>
      </c>
      <c r="K42" s="149">
        <f t="shared" si="3"/>
        <v>76.358865683890514</v>
      </c>
    </row>
    <row r="43" spans="1:11">
      <c r="A43" s="138">
        <f t="shared" si="0"/>
        <v>0.62025300000000005</v>
      </c>
      <c r="B43" s="138">
        <v>620.25300000000004</v>
      </c>
      <c r="C43" s="138">
        <v>97.347999999999999</v>
      </c>
      <c r="D43" s="138">
        <v>2.6520000000000001</v>
      </c>
      <c r="E43" s="138">
        <v>96.149000000000001</v>
      </c>
      <c r="F43" s="138">
        <v>3.851</v>
      </c>
      <c r="G43" s="138">
        <f t="shared" si="1"/>
        <v>96.149000000000001</v>
      </c>
      <c r="H43" s="138">
        <v>1</v>
      </c>
      <c r="I43" s="138">
        <v>1</v>
      </c>
      <c r="J43" s="145">
        <f t="shared" si="2"/>
        <v>0.81271264089999995</v>
      </c>
      <c r="K43" s="149">
        <f t="shared" si="3"/>
        <v>76.445836992589392</v>
      </c>
    </row>
    <row r="44" spans="1:11">
      <c r="A44" s="138">
        <f t="shared" si="0"/>
        <v>0.62341800000000003</v>
      </c>
      <c r="B44" s="138">
        <v>623.41800000000001</v>
      </c>
      <c r="C44" s="138">
        <v>97.385000000000005</v>
      </c>
      <c r="D44" s="138">
        <v>2.6150000000000002</v>
      </c>
      <c r="E44" s="138">
        <v>96.200999999999993</v>
      </c>
      <c r="F44" s="138">
        <v>3.7989999999999999</v>
      </c>
      <c r="G44" s="138">
        <f t="shared" si="1"/>
        <v>96.200999999999993</v>
      </c>
      <c r="H44" s="138">
        <v>1</v>
      </c>
      <c r="I44" s="138">
        <v>1</v>
      </c>
      <c r="J44" s="145">
        <f t="shared" si="2"/>
        <v>0.81304591539999993</v>
      </c>
      <c r="K44" s="149">
        <f t="shared" si="3"/>
        <v>76.518546594064915</v>
      </c>
    </row>
    <row r="45" spans="1:11">
      <c r="A45" s="138">
        <f t="shared" si="0"/>
        <v>0.62658199999999997</v>
      </c>
      <c r="B45" s="138">
        <v>626.58199999999999</v>
      </c>
      <c r="C45" s="138">
        <v>97.399000000000001</v>
      </c>
      <c r="D45" s="138">
        <v>2.601</v>
      </c>
      <c r="E45" s="138">
        <v>96.233999999999995</v>
      </c>
      <c r="F45" s="138">
        <v>3.766</v>
      </c>
      <c r="G45" s="138">
        <f t="shared" si="1"/>
        <v>96.233999999999995</v>
      </c>
      <c r="H45" s="138">
        <v>1</v>
      </c>
      <c r="I45" s="138">
        <v>1</v>
      </c>
      <c r="J45" s="145">
        <f t="shared" si="2"/>
        <v>0.81337908459999997</v>
      </c>
      <c r="K45" s="149">
        <f t="shared" si="3"/>
        <v>76.576161342041885</v>
      </c>
    </row>
    <row r="46" spans="1:11">
      <c r="A46" s="138">
        <f t="shared" si="0"/>
        <v>0.62974699999999995</v>
      </c>
      <c r="B46" s="138">
        <v>629.74699999999996</v>
      </c>
      <c r="C46" s="138">
        <v>97.39</v>
      </c>
      <c r="D46" s="138">
        <v>2.61</v>
      </c>
      <c r="E46" s="138">
        <v>96.248999999999995</v>
      </c>
      <c r="F46" s="138">
        <v>3.7509999999999999</v>
      </c>
      <c r="G46" s="138">
        <f t="shared" si="1"/>
        <v>96.248999999999995</v>
      </c>
      <c r="H46" s="138">
        <v>1</v>
      </c>
      <c r="I46" s="138">
        <v>1</v>
      </c>
      <c r="J46" s="145">
        <f t="shared" si="2"/>
        <v>0.81371235909999995</v>
      </c>
      <c r="K46" s="149">
        <f t="shared" si="3"/>
        <v>76.61947853254884</v>
      </c>
    </row>
    <row r="47" spans="1:11">
      <c r="A47" s="138">
        <f t="shared" si="0"/>
        <v>0.63291099999999989</v>
      </c>
      <c r="B47" s="138">
        <v>632.91099999999994</v>
      </c>
      <c r="C47" s="138">
        <v>97.358999999999995</v>
      </c>
      <c r="D47" s="138">
        <v>2.641</v>
      </c>
      <c r="E47" s="138">
        <v>96.245999999999995</v>
      </c>
      <c r="F47" s="138">
        <v>3.754</v>
      </c>
      <c r="G47" s="138">
        <f t="shared" si="1"/>
        <v>96.245999999999995</v>
      </c>
      <c r="H47" s="138">
        <v>1</v>
      </c>
      <c r="I47" s="138">
        <v>1</v>
      </c>
      <c r="J47" s="145">
        <f t="shared" si="2"/>
        <v>0.81404552829999999</v>
      </c>
      <c r="K47" s="149">
        <f t="shared" si="3"/>
        <v>76.648460734368058</v>
      </c>
    </row>
    <row r="48" spans="1:11">
      <c r="A48" s="138">
        <f t="shared" si="0"/>
        <v>0.63607599999999997</v>
      </c>
      <c r="B48" s="138">
        <v>636.07600000000002</v>
      </c>
      <c r="C48" s="138">
        <v>97.308000000000007</v>
      </c>
      <c r="D48" s="138">
        <v>2.6920000000000002</v>
      </c>
      <c r="E48" s="138">
        <v>96.227000000000004</v>
      </c>
      <c r="F48" s="138">
        <v>3.7730000000000001</v>
      </c>
      <c r="G48" s="138">
        <f t="shared" si="1"/>
        <v>96.227000000000004</v>
      </c>
      <c r="H48" s="138">
        <v>1</v>
      </c>
      <c r="I48" s="138">
        <v>1</v>
      </c>
      <c r="J48" s="145">
        <f t="shared" si="2"/>
        <v>0.81437880279999997</v>
      </c>
      <c r="K48" s="149">
        <f t="shared" si="3"/>
        <v>76.664703586497936</v>
      </c>
    </row>
    <row r="49" spans="1:11">
      <c r="A49" s="138">
        <f t="shared" si="0"/>
        <v>0.63924099999999995</v>
      </c>
      <c r="B49" s="138">
        <v>639.24099999999999</v>
      </c>
      <c r="C49" s="138">
        <v>97.236000000000004</v>
      </c>
      <c r="D49" s="138">
        <v>2.7639999999999998</v>
      </c>
      <c r="E49" s="138">
        <v>96.191999999999993</v>
      </c>
      <c r="F49" s="138">
        <v>3.8079999999999998</v>
      </c>
      <c r="G49" s="138">
        <f t="shared" si="1"/>
        <v>96.191999999999993</v>
      </c>
      <c r="H49" s="138">
        <v>1</v>
      </c>
      <c r="I49" s="138">
        <v>1</v>
      </c>
      <c r="J49" s="145">
        <f t="shared" si="2"/>
        <v>0.81471207729999995</v>
      </c>
      <c r="K49" s="149">
        <f t="shared" si="3"/>
        <v>76.66818152381137</v>
      </c>
    </row>
    <row r="50" spans="1:11">
      <c r="A50" s="138">
        <f t="shared" si="0"/>
        <v>0.642405</v>
      </c>
      <c r="B50" s="138">
        <v>642.40499999999997</v>
      </c>
      <c r="C50" s="138">
        <v>97.144999999999996</v>
      </c>
      <c r="D50" s="138">
        <v>2.855</v>
      </c>
      <c r="E50" s="138">
        <v>96.141000000000005</v>
      </c>
      <c r="F50" s="138">
        <v>3.859</v>
      </c>
      <c r="G50" s="138">
        <f t="shared" si="1"/>
        <v>96.141000000000005</v>
      </c>
      <c r="H50" s="138">
        <v>1</v>
      </c>
      <c r="I50" s="138">
        <v>1</v>
      </c>
      <c r="J50" s="145">
        <f t="shared" si="2"/>
        <v>0.81504524649999999</v>
      </c>
      <c r="K50" s="149">
        <f t="shared" si="3"/>
        <v>76.658868992306992</v>
      </c>
    </row>
    <row r="51" spans="1:11">
      <c r="A51" s="138">
        <f t="shared" si="0"/>
        <v>0.64557000000000009</v>
      </c>
      <c r="B51" s="138">
        <v>645.57000000000005</v>
      </c>
      <c r="C51" s="138">
        <v>97.034999999999997</v>
      </c>
      <c r="D51" s="138">
        <v>2.9649999999999999</v>
      </c>
      <c r="E51" s="138">
        <v>96.075000000000003</v>
      </c>
      <c r="F51" s="138">
        <v>3.9249999999999998</v>
      </c>
      <c r="G51" s="138">
        <f t="shared" si="1"/>
        <v>96.075000000000003</v>
      </c>
      <c r="H51" s="138">
        <v>1</v>
      </c>
      <c r="I51" s="138">
        <v>1</v>
      </c>
      <c r="J51" s="145">
        <f t="shared" si="2"/>
        <v>0.81537852099999997</v>
      </c>
      <c r="K51" s="149">
        <f t="shared" si="3"/>
        <v>76.637567841584868</v>
      </c>
    </row>
    <row r="52" spans="1:11">
      <c r="A52" s="138">
        <f t="shared" si="0"/>
        <v>0.64873400000000003</v>
      </c>
      <c r="B52" s="138">
        <v>648.73400000000004</v>
      </c>
      <c r="C52" s="138">
        <v>96.909000000000006</v>
      </c>
      <c r="D52" s="138">
        <v>3.0910000000000002</v>
      </c>
      <c r="E52" s="138">
        <v>95.995000000000005</v>
      </c>
      <c r="F52" s="138">
        <v>4.0049999999999999</v>
      </c>
      <c r="G52" s="138">
        <f t="shared" si="1"/>
        <v>95.995000000000005</v>
      </c>
      <c r="H52" s="138">
        <v>1</v>
      </c>
      <c r="I52" s="138">
        <v>1</v>
      </c>
      <c r="J52" s="145">
        <f t="shared" si="2"/>
        <v>0.81571169020000001</v>
      </c>
      <c r="K52" s="149">
        <f t="shared" si="3"/>
        <v>76.605041612442747</v>
      </c>
    </row>
    <row r="53" spans="1:11">
      <c r="A53" s="138">
        <f t="shared" si="0"/>
        <v>0.65189900000000001</v>
      </c>
      <c r="B53" s="138">
        <v>651.899</v>
      </c>
      <c r="C53" s="138">
        <v>96.765000000000001</v>
      </c>
      <c r="D53" s="138">
        <v>3.2349999999999999</v>
      </c>
      <c r="E53" s="138">
        <v>95.902000000000001</v>
      </c>
      <c r="F53" s="138">
        <v>4.0979999999999999</v>
      </c>
      <c r="G53" s="138">
        <f t="shared" si="1"/>
        <v>95.902000000000001</v>
      </c>
      <c r="H53" s="138">
        <v>1</v>
      </c>
      <c r="I53" s="138">
        <v>1</v>
      </c>
      <c r="J53" s="145">
        <f t="shared" si="2"/>
        <v>0.81604496469999999</v>
      </c>
      <c r="K53" s="149">
        <f t="shared" si="3"/>
        <v>76.562094735418299</v>
      </c>
    </row>
    <row r="54" spans="1:11">
      <c r="A54" s="138">
        <f t="shared" si="0"/>
        <v>0.65506299999999995</v>
      </c>
      <c r="B54" s="138">
        <v>655.06299999999999</v>
      </c>
      <c r="C54" s="138">
        <v>96.606999999999999</v>
      </c>
      <c r="D54" s="138">
        <v>3.3929999999999998</v>
      </c>
      <c r="E54" s="138">
        <v>95.796000000000006</v>
      </c>
      <c r="F54" s="138">
        <v>4.2039999999999997</v>
      </c>
      <c r="G54" s="138">
        <f t="shared" si="1"/>
        <v>95.796000000000006</v>
      </c>
      <c r="H54" s="138">
        <v>1</v>
      </c>
      <c r="I54" s="138">
        <v>1</v>
      </c>
      <c r="J54" s="145">
        <f t="shared" si="2"/>
        <v>0.81637813389999991</v>
      </c>
      <c r="K54" s="149">
        <f t="shared" si="3"/>
        <v>76.508694729267063</v>
      </c>
    </row>
    <row r="55" spans="1:11">
      <c r="A55" s="138">
        <f t="shared" si="0"/>
        <v>0.65822799999999992</v>
      </c>
      <c r="B55" s="138">
        <v>658.22799999999995</v>
      </c>
      <c r="C55" s="138">
        <v>96.433999999999997</v>
      </c>
      <c r="D55" s="138">
        <v>3.5659999999999998</v>
      </c>
      <c r="E55" s="138">
        <v>95.677999999999997</v>
      </c>
      <c r="F55" s="138">
        <v>4.3220000000000001</v>
      </c>
      <c r="G55" s="138">
        <f t="shared" si="1"/>
        <v>95.677999999999997</v>
      </c>
      <c r="H55" s="138">
        <v>1</v>
      </c>
      <c r="I55" s="138">
        <v>1</v>
      </c>
      <c r="J55" s="145">
        <f t="shared" si="2"/>
        <v>0.81671140840000001</v>
      </c>
      <c r="K55" s="149">
        <f t="shared" si="3"/>
        <v>76.445647616211374</v>
      </c>
    </row>
    <row r="56" spans="1:11">
      <c r="A56" s="138">
        <f t="shared" si="0"/>
        <v>0.66139200000000009</v>
      </c>
      <c r="B56" s="138">
        <v>661.39200000000005</v>
      </c>
      <c r="C56" s="138">
        <v>96.247</v>
      </c>
      <c r="D56" s="138">
        <v>3.7530000000000001</v>
      </c>
      <c r="E56" s="138">
        <v>95.549000000000007</v>
      </c>
      <c r="F56" s="138">
        <v>4.4509999999999996</v>
      </c>
      <c r="G56" s="138">
        <f t="shared" si="1"/>
        <v>95.549000000000007</v>
      </c>
      <c r="H56" s="138">
        <v>1</v>
      </c>
      <c r="I56" s="138">
        <v>1</v>
      </c>
      <c r="J56" s="145">
        <f t="shared" si="2"/>
        <v>0.81704457759999993</v>
      </c>
      <c r="K56" s="149">
        <f t="shared" si="3"/>
        <v>76.373721251213681</v>
      </c>
    </row>
    <row r="57" spans="1:11">
      <c r="A57" s="138">
        <f t="shared" si="0"/>
        <v>0.66455700000000006</v>
      </c>
      <c r="B57" s="138">
        <v>664.55700000000002</v>
      </c>
      <c r="C57" s="138">
        <v>96.048000000000002</v>
      </c>
      <c r="D57" s="138">
        <v>3.952</v>
      </c>
      <c r="E57" s="138">
        <v>95.409000000000006</v>
      </c>
      <c r="F57" s="138">
        <v>4.5910000000000002</v>
      </c>
      <c r="G57" s="138">
        <f t="shared" si="1"/>
        <v>95.409000000000006</v>
      </c>
      <c r="H57" s="138">
        <v>1</v>
      </c>
      <c r="I57" s="138">
        <v>1</v>
      </c>
      <c r="J57" s="145">
        <f t="shared" si="2"/>
        <v>0.81737785209999991</v>
      </c>
      <c r="K57" s="149">
        <f t="shared" si="3"/>
        <v>76.292924575254006</v>
      </c>
    </row>
    <row r="58" spans="1:11">
      <c r="A58" s="138">
        <f t="shared" si="0"/>
        <v>0.66772199999999993</v>
      </c>
      <c r="B58" s="138">
        <v>667.72199999999998</v>
      </c>
      <c r="C58" s="138">
        <v>95.837999999999994</v>
      </c>
      <c r="D58" s="138">
        <v>4.1619999999999999</v>
      </c>
      <c r="E58" s="138">
        <v>95.26</v>
      </c>
      <c r="F58" s="138">
        <v>4.74</v>
      </c>
      <c r="G58" s="138">
        <f t="shared" si="1"/>
        <v>95.26</v>
      </c>
      <c r="H58" s="138">
        <v>1</v>
      </c>
      <c r="I58" s="138">
        <v>1</v>
      </c>
      <c r="J58" s="145">
        <f t="shared" si="2"/>
        <v>0.81771112659999989</v>
      </c>
      <c r="K58" s="149">
        <f t="shared" si="3"/>
        <v>76.204836906253817</v>
      </c>
    </row>
    <row r="59" spans="1:11">
      <c r="A59" s="138">
        <f t="shared" si="0"/>
        <v>0.67088599999999998</v>
      </c>
      <c r="B59" s="138">
        <v>670.88599999999997</v>
      </c>
      <c r="C59" s="138">
        <v>95.617000000000004</v>
      </c>
      <c r="D59" s="138">
        <v>4.383</v>
      </c>
      <c r="E59" s="138">
        <v>95.100999999999999</v>
      </c>
      <c r="F59" s="138">
        <v>4.899</v>
      </c>
      <c r="G59" s="138">
        <f t="shared" si="1"/>
        <v>95.100999999999999</v>
      </c>
      <c r="H59" s="138">
        <v>1</v>
      </c>
      <c r="I59" s="138">
        <v>1</v>
      </c>
      <c r="J59" s="145">
        <f t="shared" si="2"/>
        <v>0.81804429579999993</v>
      </c>
      <c r="K59" s="149">
        <f t="shared" si="3"/>
        <v>76.108639351400996</v>
      </c>
    </row>
    <row r="60" spans="1:11">
      <c r="A60" s="138">
        <f t="shared" si="0"/>
        <v>0.67405100000000007</v>
      </c>
      <c r="B60" s="138">
        <v>674.05100000000004</v>
      </c>
      <c r="C60" s="138">
        <v>95.387</v>
      </c>
      <c r="D60" s="138">
        <v>4.6130000000000004</v>
      </c>
      <c r="E60" s="138">
        <v>94.933999999999997</v>
      </c>
      <c r="F60" s="138">
        <v>5.0659999999999998</v>
      </c>
      <c r="G60" s="138">
        <f t="shared" si="1"/>
        <v>94.933999999999997</v>
      </c>
      <c r="H60" s="138">
        <v>1</v>
      </c>
      <c r="I60" s="138">
        <v>1</v>
      </c>
      <c r="J60" s="145">
        <f t="shared" si="2"/>
        <v>0.81837757030000002</v>
      </c>
      <c r="K60" s="149">
        <f t="shared" si="3"/>
        <v>76.005942978042924</v>
      </c>
    </row>
    <row r="61" spans="1:11">
      <c r="A61" s="138">
        <f t="shared" si="0"/>
        <v>0.67721500000000001</v>
      </c>
      <c r="B61" s="138">
        <v>677.21500000000003</v>
      </c>
      <c r="C61" s="138">
        <v>95.147000000000006</v>
      </c>
      <c r="D61" s="138">
        <v>4.8529999999999998</v>
      </c>
      <c r="E61" s="138">
        <v>94.76</v>
      </c>
      <c r="F61" s="138">
        <v>5.24</v>
      </c>
      <c r="G61" s="138">
        <f t="shared" si="1"/>
        <v>94.76</v>
      </c>
      <c r="H61" s="138">
        <v>1</v>
      </c>
      <c r="I61" s="138">
        <v>1</v>
      </c>
      <c r="J61" s="145">
        <f t="shared" si="2"/>
        <v>0.81871073949999995</v>
      </c>
      <c r="K61" s="149">
        <f t="shared" si="3"/>
        <v>75.89752133107207</v>
      </c>
    </row>
    <row r="62" spans="1:11">
      <c r="A62" s="138">
        <f t="shared" si="0"/>
        <v>0.68037999999999998</v>
      </c>
      <c r="B62" s="138">
        <v>680.38</v>
      </c>
      <c r="C62" s="138">
        <v>94.9</v>
      </c>
      <c r="D62" s="138">
        <v>5.0999999999999996</v>
      </c>
      <c r="E62" s="138">
        <v>94.578999999999994</v>
      </c>
      <c r="F62" s="138">
        <v>5.4210000000000003</v>
      </c>
      <c r="G62" s="138">
        <f t="shared" si="1"/>
        <v>94.578999999999994</v>
      </c>
      <c r="H62" s="138">
        <v>1</v>
      </c>
      <c r="I62" s="138">
        <v>1</v>
      </c>
      <c r="J62" s="145">
        <f t="shared" si="2"/>
        <v>0.81904401399999993</v>
      </c>
      <c r="K62" s="149">
        <f t="shared" si="3"/>
        <v>75.783387105643683</v>
      </c>
    </row>
    <row r="63" spans="1:11">
      <c r="A63" s="138">
        <f t="shared" si="0"/>
        <v>0.68354399999999993</v>
      </c>
      <c r="B63" s="138">
        <v>683.54399999999998</v>
      </c>
      <c r="C63" s="138">
        <v>94.647000000000006</v>
      </c>
      <c r="D63" s="138">
        <v>5.3529999999999998</v>
      </c>
      <c r="E63" s="138">
        <v>94.391000000000005</v>
      </c>
      <c r="F63" s="138">
        <v>5.609</v>
      </c>
      <c r="G63" s="138">
        <f t="shared" si="1"/>
        <v>94.391000000000005</v>
      </c>
      <c r="H63" s="138">
        <v>1</v>
      </c>
      <c r="I63" s="138">
        <v>1</v>
      </c>
      <c r="J63" s="145">
        <f t="shared" si="2"/>
        <v>0.81937718319999997</v>
      </c>
      <c r="K63" s="149">
        <f t="shared" si="3"/>
        <v>75.66351395155354</v>
      </c>
    </row>
    <row r="64" spans="1:11">
      <c r="A64" s="138">
        <f t="shared" si="0"/>
        <v>0.6867089999999999</v>
      </c>
      <c r="B64" s="138">
        <v>686.70899999999995</v>
      </c>
      <c r="C64" s="138">
        <v>94.387</v>
      </c>
      <c r="D64" s="138">
        <v>5.6130000000000004</v>
      </c>
      <c r="E64" s="138">
        <v>94.197999999999993</v>
      </c>
      <c r="F64" s="138">
        <v>5.8019999999999996</v>
      </c>
      <c r="G64" s="138">
        <f t="shared" si="1"/>
        <v>94.197999999999993</v>
      </c>
      <c r="H64" s="138">
        <v>1</v>
      </c>
      <c r="I64" s="138">
        <v>1</v>
      </c>
      <c r="J64" s="145">
        <f t="shared" si="2"/>
        <v>0.81971045769999995</v>
      </c>
      <c r="K64" s="149">
        <f t="shared" si="3"/>
        <v>75.539518334855572</v>
      </c>
    </row>
    <row r="65" spans="1:11">
      <c r="A65" s="138">
        <f t="shared" si="0"/>
        <v>0.68987300000000007</v>
      </c>
      <c r="B65" s="138">
        <v>689.87300000000005</v>
      </c>
      <c r="C65" s="138">
        <v>94.122</v>
      </c>
      <c r="D65" s="138">
        <v>5.8780000000000001</v>
      </c>
      <c r="E65" s="138">
        <v>94</v>
      </c>
      <c r="F65" s="138">
        <v>6</v>
      </c>
      <c r="G65" s="138">
        <f t="shared" si="1"/>
        <v>94</v>
      </c>
      <c r="H65" s="138">
        <v>1</v>
      </c>
      <c r="I65" s="138">
        <v>1</v>
      </c>
      <c r="J65" s="145">
        <f t="shared" si="2"/>
        <v>0.82004362689999999</v>
      </c>
      <c r="K65" s="149">
        <f t="shared" si="3"/>
        <v>75.411375938449368</v>
      </c>
    </row>
    <row r="66" spans="1:11">
      <c r="A66" s="138">
        <f t="shared" si="0"/>
        <v>0.69303800000000004</v>
      </c>
      <c r="B66" s="138">
        <v>693.03800000000001</v>
      </c>
      <c r="C66" s="138">
        <v>93.852000000000004</v>
      </c>
      <c r="D66" s="138">
        <v>6.1479999999999997</v>
      </c>
      <c r="E66" s="138">
        <v>93.798000000000002</v>
      </c>
      <c r="F66" s="138">
        <v>6.202</v>
      </c>
      <c r="G66" s="138">
        <f t="shared" si="1"/>
        <v>93.798000000000002</v>
      </c>
      <c r="H66" s="138">
        <v>1</v>
      </c>
      <c r="I66" s="138">
        <v>1</v>
      </c>
      <c r="J66" s="145">
        <f t="shared" si="2"/>
        <v>0.82037690139999997</v>
      </c>
      <c r="K66" s="149">
        <f t="shared" si="3"/>
        <v>75.279903834151085</v>
      </c>
    </row>
    <row r="67" spans="1:11">
      <c r="A67" s="138">
        <f t="shared" si="0"/>
        <v>0.69620300000000002</v>
      </c>
      <c r="B67" s="138">
        <v>696.20299999999997</v>
      </c>
      <c r="C67" s="138">
        <v>93.578000000000003</v>
      </c>
      <c r="D67" s="138">
        <v>6.4219999999999997</v>
      </c>
      <c r="E67" s="138">
        <v>93.591999999999999</v>
      </c>
      <c r="F67" s="138">
        <v>6.4080000000000004</v>
      </c>
      <c r="G67" s="138">
        <f t="shared" si="1"/>
        <v>93.578000000000003</v>
      </c>
      <c r="H67" s="138">
        <v>1</v>
      </c>
      <c r="I67" s="138">
        <v>1</v>
      </c>
      <c r="J67" s="145">
        <f t="shared" si="2"/>
        <v>0.82071017589999995</v>
      </c>
      <c r="K67" s="149">
        <f t="shared" si="3"/>
        <v>75.133847794934169</v>
      </c>
    </row>
    <row r="68" spans="1:11">
      <c r="A68" s="138">
        <f t="shared" si="0"/>
        <v>0.69936699999999996</v>
      </c>
      <c r="B68" s="138">
        <v>699.36699999999996</v>
      </c>
      <c r="C68" s="138">
        <v>93.302000000000007</v>
      </c>
      <c r="D68" s="138">
        <v>6.6980000000000004</v>
      </c>
      <c r="E68" s="138">
        <v>93.382000000000005</v>
      </c>
      <c r="F68" s="138">
        <v>6.6180000000000003</v>
      </c>
      <c r="G68" s="138">
        <f t="shared" si="1"/>
        <v>93.302000000000007</v>
      </c>
      <c r="H68" s="138">
        <v>1</v>
      </c>
      <c r="I68" s="138">
        <v>1</v>
      </c>
      <c r="J68" s="145">
        <f t="shared" si="2"/>
        <v>0.82104334509999999</v>
      </c>
      <c r="K68" s="149">
        <f t="shared" si="3"/>
        <v>74.942657984316114</v>
      </c>
    </row>
    <row r="69" spans="1:11">
      <c r="A69" s="138">
        <f t="shared" si="0"/>
        <v>0.70253200000000005</v>
      </c>
      <c r="B69" s="138">
        <v>702.53200000000004</v>
      </c>
      <c r="C69" s="138">
        <v>93.022999999999996</v>
      </c>
      <c r="D69" s="138">
        <v>6.9770000000000003</v>
      </c>
      <c r="E69" s="138">
        <v>93.17</v>
      </c>
      <c r="F69" s="138">
        <v>6.83</v>
      </c>
      <c r="G69" s="138">
        <f t="shared" si="1"/>
        <v>93.022999999999996</v>
      </c>
      <c r="H69" s="138">
        <v>1</v>
      </c>
      <c r="I69" s="138">
        <v>1</v>
      </c>
      <c r="J69" s="145">
        <f t="shared" si="2"/>
        <v>0.82137661959999997</v>
      </c>
      <c r="K69" s="149">
        <f t="shared" si="3"/>
        <v>74.748887179965195</v>
      </c>
    </row>
    <row r="70" spans="1:11">
      <c r="A70" s="138">
        <f t="shared" ref="A70:A133" si="6">B70/1000</f>
        <v>0.70569599999999999</v>
      </c>
      <c r="B70" s="138">
        <v>705.69600000000003</v>
      </c>
      <c r="C70" s="138">
        <v>92.742000000000004</v>
      </c>
      <c r="D70" s="138">
        <v>7.258</v>
      </c>
      <c r="E70" s="138">
        <v>92.956000000000003</v>
      </c>
      <c r="F70" s="138">
        <v>7.0439999999999996</v>
      </c>
      <c r="G70" s="138">
        <f t="shared" ref="G70:G133" si="7">MIN(C70,E70)</f>
        <v>92.742000000000004</v>
      </c>
      <c r="H70" s="138">
        <v>1</v>
      </c>
      <c r="I70" s="138">
        <v>1</v>
      </c>
      <c r="J70" s="145">
        <f t="shared" ref="J70:J133" si="8">MIN(B70/1000*$M$1+$O$1,1)</f>
        <v>0.82170978880000001</v>
      </c>
      <c r="K70" s="149">
        <f t="shared" ref="K70:K133" si="9">MAX(G70*H70*I70*J70*$G$2/100,70)</f>
        <v>74.553317132535895</v>
      </c>
    </row>
    <row r="71" spans="1:11">
      <c r="A71" s="138">
        <f t="shared" si="6"/>
        <v>0.70886099999999996</v>
      </c>
      <c r="B71" s="138">
        <v>708.86099999999999</v>
      </c>
      <c r="C71" s="138">
        <v>92.460999999999999</v>
      </c>
      <c r="D71" s="138">
        <v>7.5389999999999997</v>
      </c>
      <c r="E71" s="138">
        <v>92.74</v>
      </c>
      <c r="F71" s="138">
        <v>7.26</v>
      </c>
      <c r="G71" s="138">
        <f t="shared" si="7"/>
        <v>92.460999999999999</v>
      </c>
      <c r="H71" s="138">
        <v>1</v>
      </c>
      <c r="I71" s="138">
        <v>1</v>
      </c>
      <c r="J71" s="145">
        <f t="shared" si="8"/>
        <v>0.82204306329999999</v>
      </c>
      <c r="K71" s="149">
        <f t="shared" si="9"/>
        <v>74.357573432016849</v>
      </c>
    </row>
    <row r="72" spans="1:11">
      <c r="A72" s="138">
        <f t="shared" si="6"/>
        <v>0.71202500000000002</v>
      </c>
      <c r="B72" s="138">
        <v>712.02499999999998</v>
      </c>
      <c r="C72" s="138">
        <v>92.177999999999997</v>
      </c>
      <c r="D72" s="138">
        <v>7.8220000000000001</v>
      </c>
      <c r="E72" s="138">
        <v>92.524000000000001</v>
      </c>
      <c r="F72" s="138">
        <v>7.476</v>
      </c>
      <c r="G72" s="138">
        <f t="shared" si="7"/>
        <v>92.177999999999997</v>
      </c>
      <c r="H72" s="138">
        <v>1</v>
      </c>
      <c r="I72" s="138">
        <v>1</v>
      </c>
      <c r="J72" s="145">
        <f t="shared" si="8"/>
        <v>0.82237623249999992</v>
      </c>
      <c r="K72" s="149">
        <f t="shared" si="9"/>
        <v>74.160027938386335</v>
      </c>
    </row>
    <row r="73" spans="1:11">
      <c r="A73" s="138">
        <f t="shared" si="6"/>
        <v>0.7151900000000001</v>
      </c>
      <c r="B73" s="138">
        <v>715.19</v>
      </c>
      <c r="C73" s="138">
        <v>91.896000000000001</v>
      </c>
      <c r="D73" s="138">
        <v>8.1039999999999992</v>
      </c>
      <c r="E73" s="138">
        <v>92.305999999999997</v>
      </c>
      <c r="F73" s="138">
        <v>7.694</v>
      </c>
      <c r="G73" s="138">
        <f t="shared" si="7"/>
        <v>91.896000000000001</v>
      </c>
      <c r="H73" s="138">
        <v>1</v>
      </c>
      <c r="I73" s="138">
        <v>1</v>
      </c>
      <c r="J73" s="145">
        <f t="shared" si="8"/>
        <v>0.82270950700000001</v>
      </c>
      <c r="K73" s="149">
        <f t="shared" si="9"/>
        <v>73.963112286312608</v>
      </c>
    </row>
    <row r="74" spans="1:11">
      <c r="A74" s="138">
        <f t="shared" si="6"/>
        <v>0.71835400000000005</v>
      </c>
      <c r="B74" s="138">
        <v>718.35400000000004</v>
      </c>
      <c r="C74" s="138">
        <v>91.614000000000004</v>
      </c>
      <c r="D74" s="138">
        <v>8.3859999999999992</v>
      </c>
      <c r="E74" s="138">
        <v>92.087999999999994</v>
      </c>
      <c r="F74" s="138">
        <v>7.9119999999999999</v>
      </c>
      <c r="G74" s="138">
        <f t="shared" si="7"/>
        <v>91.614000000000004</v>
      </c>
      <c r="H74" s="138">
        <v>1</v>
      </c>
      <c r="I74" s="138">
        <v>1</v>
      </c>
      <c r="J74" s="145">
        <f t="shared" si="8"/>
        <v>0.82304267619999993</v>
      </c>
      <c r="K74" s="149">
        <f t="shared" si="9"/>
        <v>73.766003308685498</v>
      </c>
    </row>
    <row r="75" spans="1:11">
      <c r="A75" s="138">
        <f t="shared" si="6"/>
        <v>0.72151900000000002</v>
      </c>
      <c r="B75" s="138">
        <v>721.51900000000001</v>
      </c>
      <c r="C75" s="138">
        <v>91.332999999999998</v>
      </c>
      <c r="D75" s="138">
        <v>8.6669999999999998</v>
      </c>
      <c r="E75" s="138">
        <v>91.87</v>
      </c>
      <c r="F75" s="138">
        <v>8.1300000000000008</v>
      </c>
      <c r="G75" s="138">
        <f t="shared" si="7"/>
        <v>91.332999999999998</v>
      </c>
      <c r="H75" s="138">
        <v>1</v>
      </c>
      <c r="I75" s="138">
        <v>1</v>
      </c>
      <c r="J75" s="145">
        <f t="shared" si="8"/>
        <v>0.82337595069999991</v>
      </c>
      <c r="K75" s="149">
        <f t="shared" si="9"/>
        <v>73.569525418478449</v>
      </c>
    </row>
    <row r="76" spans="1:11">
      <c r="A76" s="138">
        <f t="shared" si="6"/>
        <v>0.72468399999999999</v>
      </c>
      <c r="B76" s="138">
        <v>724.68399999999997</v>
      </c>
      <c r="C76" s="138">
        <v>91.054000000000002</v>
      </c>
      <c r="D76" s="138">
        <v>8.9459999999999997</v>
      </c>
      <c r="E76" s="138">
        <v>91.653000000000006</v>
      </c>
      <c r="F76" s="138">
        <v>8.3469999999999995</v>
      </c>
      <c r="G76" s="138">
        <f t="shared" si="7"/>
        <v>91.054000000000002</v>
      </c>
      <c r="H76" s="138">
        <v>1</v>
      </c>
      <c r="I76" s="138">
        <v>1</v>
      </c>
      <c r="J76" s="145">
        <f t="shared" si="8"/>
        <v>0.82370922520000001</v>
      </c>
      <c r="K76" s="149">
        <f t="shared" si="9"/>
        <v>73.37447596188828</v>
      </c>
    </row>
    <row r="77" spans="1:11">
      <c r="A77" s="138">
        <f t="shared" si="6"/>
        <v>0.72784799999999994</v>
      </c>
      <c r="B77" s="138">
        <v>727.84799999999996</v>
      </c>
      <c r="C77" s="138">
        <v>90.777000000000001</v>
      </c>
      <c r="D77" s="138">
        <v>9.2230000000000008</v>
      </c>
      <c r="E77" s="138">
        <v>91.436999999999998</v>
      </c>
      <c r="F77" s="138">
        <v>8.5630000000000006</v>
      </c>
      <c r="G77" s="138">
        <f t="shared" si="7"/>
        <v>90.777000000000001</v>
      </c>
      <c r="H77" s="138">
        <v>1</v>
      </c>
      <c r="I77" s="138">
        <v>1</v>
      </c>
      <c r="J77" s="145">
        <f t="shared" si="8"/>
        <v>0.82404239439999993</v>
      </c>
      <c r="K77" s="149">
        <f t="shared" si="9"/>
        <v>73.180847543777844</v>
      </c>
    </row>
    <row r="78" spans="1:11">
      <c r="A78" s="138">
        <f t="shared" si="6"/>
        <v>0.73101300000000002</v>
      </c>
      <c r="B78" s="138">
        <v>731.01300000000003</v>
      </c>
      <c r="C78" s="138">
        <v>90.501000000000005</v>
      </c>
      <c r="D78" s="138">
        <v>9.4990000000000006</v>
      </c>
      <c r="E78" s="138">
        <v>91.221999999999994</v>
      </c>
      <c r="F78" s="138">
        <v>8.7780000000000005</v>
      </c>
      <c r="G78" s="138">
        <f t="shared" si="7"/>
        <v>90.501000000000005</v>
      </c>
      <c r="H78" s="138">
        <v>1</v>
      </c>
      <c r="I78" s="138">
        <v>1</v>
      </c>
      <c r="J78" s="145">
        <f t="shared" si="8"/>
        <v>0.82437566889999991</v>
      </c>
      <c r="K78" s="149">
        <f t="shared" si="9"/>
        <v>72.987854364797613</v>
      </c>
    </row>
    <row r="79" spans="1:11">
      <c r="A79" s="138">
        <f t="shared" si="6"/>
        <v>0.73417699999999997</v>
      </c>
      <c r="B79" s="138">
        <v>734.17700000000002</v>
      </c>
      <c r="C79" s="138">
        <v>90.228999999999999</v>
      </c>
      <c r="D79" s="138">
        <v>9.7710000000000008</v>
      </c>
      <c r="E79" s="138">
        <v>91.007999999999996</v>
      </c>
      <c r="F79" s="138">
        <v>8.9920000000000009</v>
      </c>
      <c r="G79" s="138">
        <f t="shared" si="7"/>
        <v>90.228999999999999</v>
      </c>
      <c r="H79" s="138">
        <v>1</v>
      </c>
      <c r="I79" s="138">
        <v>1</v>
      </c>
      <c r="J79" s="145">
        <f t="shared" si="8"/>
        <v>0.82470883809999995</v>
      </c>
      <c r="K79" s="149">
        <f t="shared" si="9"/>
        <v>72.797899166486417</v>
      </c>
    </row>
    <row r="80" spans="1:11">
      <c r="A80" s="138">
        <f t="shared" si="6"/>
        <v>0.73734199999999994</v>
      </c>
      <c r="B80" s="138">
        <v>737.34199999999998</v>
      </c>
      <c r="C80" s="138">
        <v>89.959000000000003</v>
      </c>
      <c r="D80" s="138">
        <v>10.041</v>
      </c>
      <c r="E80" s="138">
        <v>90.796000000000006</v>
      </c>
      <c r="F80" s="138">
        <v>9.2040000000000006</v>
      </c>
      <c r="G80" s="138">
        <f t="shared" si="7"/>
        <v>89.959000000000003</v>
      </c>
      <c r="H80" s="138">
        <v>1</v>
      </c>
      <c r="I80" s="138">
        <v>1</v>
      </c>
      <c r="J80" s="145">
        <f t="shared" si="8"/>
        <v>0.82504211259999993</v>
      </c>
      <c r="K80" s="149">
        <f t="shared" si="9"/>
        <v>72.60939020144319</v>
      </c>
    </row>
    <row r="81" spans="1:11">
      <c r="A81" s="138">
        <f t="shared" si="6"/>
        <v>0.740506</v>
      </c>
      <c r="B81" s="138">
        <v>740.50599999999997</v>
      </c>
      <c r="C81" s="138">
        <v>89.692999999999998</v>
      </c>
      <c r="D81" s="138">
        <v>10.307</v>
      </c>
      <c r="E81" s="138">
        <v>90.587000000000003</v>
      </c>
      <c r="F81" s="138">
        <v>9.4130000000000003</v>
      </c>
      <c r="G81" s="138">
        <f t="shared" si="7"/>
        <v>89.692999999999998</v>
      </c>
      <c r="H81" s="138">
        <v>1</v>
      </c>
      <c r="I81" s="138">
        <v>1</v>
      </c>
      <c r="J81" s="145">
        <f t="shared" si="8"/>
        <v>0.82537528179999997</v>
      </c>
      <c r="K81" s="149">
        <f t="shared" si="9"/>
        <v>72.423925792721818</v>
      </c>
    </row>
    <row r="82" spans="1:11">
      <c r="A82" s="138">
        <f t="shared" si="6"/>
        <v>0.74367100000000008</v>
      </c>
      <c r="B82" s="138">
        <v>743.67100000000005</v>
      </c>
      <c r="C82" s="138">
        <v>89.43</v>
      </c>
      <c r="D82" s="138">
        <v>10.57</v>
      </c>
      <c r="E82" s="138">
        <v>90.379000000000005</v>
      </c>
      <c r="F82" s="138">
        <v>9.6210000000000004</v>
      </c>
      <c r="G82" s="138">
        <f t="shared" si="7"/>
        <v>89.43</v>
      </c>
      <c r="H82" s="138">
        <v>1</v>
      </c>
      <c r="I82" s="138">
        <v>1</v>
      </c>
      <c r="J82" s="145">
        <f t="shared" si="8"/>
        <v>0.82570855629999995</v>
      </c>
      <c r="K82" s="149">
        <f t="shared" si="9"/>
        <v>72.24072056858796</v>
      </c>
    </row>
    <row r="83" spans="1:11">
      <c r="A83" s="138">
        <f t="shared" si="6"/>
        <v>0.74683500000000003</v>
      </c>
      <c r="B83" s="138">
        <v>746.83500000000004</v>
      </c>
      <c r="C83" s="138">
        <v>89.17</v>
      </c>
      <c r="D83" s="138">
        <v>10.83</v>
      </c>
      <c r="E83" s="138">
        <v>90.174999999999997</v>
      </c>
      <c r="F83" s="138">
        <v>9.8249999999999993</v>
      </c>
      <c r="G83" s="138">
        <f t="shared" si="7"/>
        <v>89.17</v>
      </c>
      <c r="H83" s="138">
        <v>1</v>
      </c>
      <c r="I83" s="138">
        <v>1</v>
      </c>
      <c r="J83" s="145">
        <f t="shared" si="8"/>
        <v>0.82604172549999999</v>
      </c>
      <c r="K83" s="149">
        <f t="shared" si="9"/>
        <v>72.059759010451472</v>
      </c>
    </row>
    <row r="84" spans="1:11">
      <c r="A84" s="138">
        <f t="shared" si="6"/>
        <v>0.75</v>
      </c>
      <c r="B84" s="138">
        <v>750</v>
      </c>
      <c r="C84" s="138">
        <v>88.915000000000006</v>
      </c>
      <c r="D84" s="138">
        <v>11.085000000000001</v>
      </c>
      <c r="E84" s="138">
        <v>89.972999999999999</v>
      </c>
      <c r="F84" s="138">
        <v>10.026999999999999</v>
      </c>
      <c r="G84" s="138">
        <f t="shared" si="7"/>
        <v>88.915000000000006</v>
      </c>
      <c r="H84" s="138">
        <v>1</v>
      </c>
      <c r="I84" s="138">
        <v>1</v>
      </c>
      <c r="J84" s="145">
        <f t="shared" si="8"/>
        <v>0.82637499999999997</v>
      </c>
      <c r="K84" s="149">
        <f t="shared" si="9"/>
        <v>71.882679336187508</v>
      </c>
    </row>
    <row r="85" spans="1:11">
      <c r="A85" s="138">
        <f t="shared" si="6"/>
        <v>0.75316499999999997</v>
      </c>
      <c r="B85" s="138">
        <v>753.16499999999996</v>
      </c>
      <c r="C85" s="138">
        <v>88.665000000000006</v>
      </c>
      <c r="D85" s="138">
        <v>11.335000000000001</v>
      </c>
      <c r="E85" s="138">
        <v>89.774000000000001</v>
      </c>
      <c r="F85" s="138">
        <v>10.226000000000001</v>
      </c>
      <c r="G85" s="138">
        <f t="shared" si="7"/>
        <v>88.665000000000006</v>
      </c>
      <c r="H85" s="138">
        <v>1</v>
      </c>
      <c r="I85" s="138">
        <v>1</v>
      </c>
      <c r="J85" s="145">
        <f t="shared" si="8"/>
        <v>0.82670827449999995</v>
      </c>
      <c r="K85" s="149">
        <f t="shared" si="9"/>
        <v>71.709477223802139</v>
      </c>
    </row>
    <row r="86" spans="1:11">
      <c r="A86" s="138">
        <f t="shared" si="6"/>
        <v>0.75632899999999992</v>
      </c>
      <c r="B86" s="138">
        <v>756.32899999999995</v>
      </c>
      <c r="C86" s="138">
        <v>88.418000000000006</v>
      </c>
      <c r="D86" s="138">
        <v>11.582000000000001</v>
      </c>
      <c r="E86" s="138">
        <v>89.578000000000003</v>
      </c>
      <c r="F86" s="138">
        <v>10.422000000000001</v>
      </c>
      <c r="G86" s="138">
        <f t="shared" si="7"/>
        <v>88.418000000000006</v>
      </c>
      <c r="H86" s="138">
        <v>1</v>
      </c>
      <c r="I86" s="138">
        <v>1</v>
      </c>
      <c r="J86" s="145">
        <f t="shared" si="8"/>
        <v>0.82704144369999999</v>
      </c>
      <c r="K86" s="149">
        <f t="shared" si="9"/>
        <v>71.538530266057862</v>
      </c>
    </row>
    <row r="87" spans="1:11">
      <c r="A87" s="138">
        <f t="shared" si="6"/>
        <v>0.759494</v>
      </c>
      <c r="B87" s="138">
        <v>759.49400000000003</v>
      </c>
      <c r="C87" s="138">
        <v>88.176000000000002</v>
      </c>
      <c r="D87" s="138">
        <v>11.824</v>
      </c>
      <c r="E87" s="138">
        <v>89.385000000000005</v>
      </c>
      <c r="F87" s="138">
        <v>10.615</v>
      </c>
      <c r="G87" s="138">
        <f t="shared" si="7"/>
        <v>88.176000000000002</v>
      </c>
      <c r="H87" s="138">
        <v>1</v>
      </c>
      <c r="I87" s="138">
        <v>1</v>
      </c>
      <c r="J87" s="145">
        <f t="shared" si="8"/>
        <v>0.82737471819999997</v>
      </c>
      <c r="K87" s="149">
        <f t="shared" si="9"/>
        <v>71.371478480604722</v>
      </c>
    </row>
    <row r="88" spans="1:11">
      <c r="A88" s="138">
        <f t="shared" si="6"/>
        <v>0.76265800000000006</v>
      </c>
      <c r="B88" s="138">
        <v>762.65800000000002</v>
      </c>
      <c r="C88" s="138">
        <v>87.94</v>
      </c>
      <c r="D88" s="138">
        <v>12.06</v>
      </c>
      <c r="E88" s="138">
        <v>89.197000000000003</v>
      </c>
      <c r="F88" s="138">
        <v>10.803000000000001</v>
      </c>
      <c r="G88" s="138">
        <f t="shared" si="7"/>
        <v>87.94</v>
      </c>
      <c r="H88" s="138">
        <v>1</v>
      </c>
      <c r="I88" s="138">
        <v>1</v>
      </c>
      <c r="J88" s="145">
        <f t="shared" si="8"/>
        <v>0.82770788740000001</v>
      </c>
      <c r="K88" s="149">
        <f t="shared" si="9"/>
        <v>71.209118311846353</v>
      </c>
    </row>
    <row r="89" spans="1:11">
      <c r="A89" s="138">
        <f t="shared" si="6"/>
        <v>0.76582300000000003</v>
      </c>
      <c r="B89" s="138">
        <v>765.82299999999998</v>
      </c>
      <c r="C89" s="138">
        <v>87.707999999999998</v>
      </c>
      <c r="D89" s="138">
        <v>12.292</v>
      </c>
      <c r="E89" s="138">
        <v>89.010999999999996</v>
      </c>
      <c r="F89" s="138">
        <v>10.989000000000001</v>
      </c>
      <c r="G89" s="138">
        <f t="shared" si="7"/>
        <v>87.707999999999998</v>
      </c>
      <c r="H89" s="138">
        <v>1</v>
      </c>
      <c r="I89" s="138">
        <v>1</v>
      </c>
      <c r="J89" s="145">
        <f t="shared" si="8"/>
        <v>0.82804116189999999</v>
      </c>
      <c r="K89" s="149">
        <f t="shared" si="9"/>
        <v>71.049853625179225</v>
      </c>
    </row>
    <row r="90" spans="1:11">
      <c r="A90" s="138">
        <f t="shared" si="6"/>
        <v>0.76898699999999998</v>
      </c>
      <c r="B90" s="138">
        <v>768.98699999999997</v>
      </c>
      <c r="C90" s="138">
        <v>87.480999999999995</v>
      </c>
      <c r="D90" s="138">
        <v>12.519</v>
      </c>
      <c r="E90" s="138">
        <v>88.83</v>
      </c>
      <c r="F90" s="138">
        <v>11.17</v>
      </c>
      <c r="G90" s="138">
        <f t="shared" si="7"/>
        <v>87.480999999999995</v>
      </c>
      <c r="H90" s="138">
        <v>1</v>
      </c>
      <c r="I90" s="138">
        <v>1</v>
      </c>
      <c r="J90" s="145">
        <f t="shared" si="8"/>
        <v>0.82837433109999992</v>
      </c>
      <c r="K90" s="149">
        <f t="shared" si="9"/>
        <v>70.894480636519674</v>
      </c>
    </row>
    <row r="91" spans="1:11">
      <c r="A91" s="138">
        <f t="shared" si="6"/>
        <v>0.77215200000000006</v>
      </c>
      <c r="B91" s="138">
        <v>772.15200000000004</v>
      </c>
      <c r="C91" s="138">
        <v>87.259</v>
      </c>
      <c r="D91" s="138">
        <v>12.741</v>
      </c>
      <c r="E91" s="138">
        <v>88.652000000000001</v>
      </c>
      <c r="F91" s="138">
        <v>11.348000000000001</v>
      </c>
      <c r="G91" s="138">
        <f t="shared" si="7"/>
        <v>87.259</v>
      </c>
      <c r="H91" s="138">
        <v>1</v>
      </c>
      <c r="I91" s="138">
        <v>1</v>
      </c>
      <c r="J91" s="145">
        <f t="shared" si="8"/>
        <v>0.82870760560000001</v>
      </c>
      <c r="K91" s="149">
        <f t="shared" si="9"/>
        <v>70.743022283082411</v>
      </c>
    </row>
    <row r="92" spans="1:11">
      <c r="A92" s="138">
        <f t="shared" si="6"/>
        <v>0.77531600000000001</v>
      </c>
      <c r="B92" s="138">
        <v>775.31600000000003</v>
      </c>
      <c r="C92" s="138">
        <v>87.042000000000002</v>
      </c>
      <c r="D92" s="138">
        <v>12.958</v>
      </c>
      <c r="E92" s="138">
        <v>88.478999999999999</v>
      </c>
      <c r="F92" s="138">
        <v>11.521000000000001</v>
      </c>
      <c r="G92" s="138">
        <f t="shared" si="7"/>
        <v>87.042000000000002</v>
      </c>
      <c r="H92" s="138">
        <v>1</v>
      </c>
      <c r="I92" s="138">
        <v>1</v>
      </c>
      <c r="J92" s="145">
        <f t="shared" si="8"/>
        <v>0.82904077479999994</v>
      </c>
      <c r="K92" s="149">
        <f t="shared" si="9"/>
        <v>70.595465453634517</v>
      </c>
    </row>
    <row r="93" spans="1:11">
      <c r="A93" s="138">
        <f t="shared" si="6"/>
        <v>0.77848099999999998</v>
      </c>
      <c r="B93" s="138">
        <v>778.48099999999999</v>
      </c>
      <c r="C93" s="138">
        <v>86.831000000000003</v>
      </c>
      <c r="D93" s="138">
        <v>13.169</v>
      </c>
      <c r="E93" s="138">
        <v>88.308999999999997</v>
      </c>
      <c r="F93" s="138">
        <v>11.691000000000001</v>
      </c>
      <c r="G93" s="138">
        <f t="shared" si="7"/>
        <v>86.831000000000003</v>
      </c>
      <c r="H93" s="138">
        <v>1</v>
      </c>
      <c r="I93" s="138">
        <v>1</v>
      </c>
      <c r="J93" s="145">
        <f t="shared" si="8"/>
        <v>0.82937404929999992</v>
      </c>
      <c r="K93" s="149">
        <f t="shared" si="9"/>
        <v>70.452644370545826</v>
      </c>
    </row>
    <row r="94" spans="1:11">
      <c r="A94" s="138">
        <f t="shared" si="6"/>
        <v>0.78164599999999995</v>
      </c>
      <c r="B94" s="138">
        <v>781.64599999999996</v>
      </c>
      <c r="C94" s="138">
        <v>86.625</v>
      </c>
      <c r="D94" s="138">
        <v>13.375</v>
      </c>
      <c r="E94" s="138">
        <v>88.144000000000005</v>
      </c>
      <c r="F94" s="138">
        <v>11.856</v>
      </c>
      <c r="G94" s="138">
        <f t="shared" si="7"/>
        <v>86.625</v>
      </c>
      <c r="H94" s="138">
        <v>1</v>
      </c>
      <c r="I94" s="138">
        <v>1</v>
      </c>
      <c r="J94" s="145">
        <f t="shared" si="8"/>
        <v>0.8297073237999999</v>
      </c>
      <c r="K94" s="149">
        <f t="shared" si="9"/>
        <v>70.31374421092039</v>
      </c>
    </row>
    <row r="95" spans="1:11">
      <c r="A95" s="138">
        <f t="shared" si="6"/>
        <v>0.7848099999999999</v>
      </c>
      <c r="B95" s="138">
        <v>784.81</v>
      </c>
      <c r="C95" s="138">
        <v>86.424999999999997</v>
      </c>
      <c r="D95" s="138">
        <v>13.574999999999999</v>
      </c>
      <c r="E95" s="138">
        <v>87.983000000000004</v>
      </c>
      <c r="F95" s="138">
        <v>12.016999999999999</v>
      </c>
      <c r="G95" s="138">
        <f t="shared" si="7"/>
        <v>86.424999999999997</v>
      </c>
      <c r="H95" s="138">
        <v>1</v>
      </c>
      <c r="I95" s="138">
        <v>1</v>
      </c>
      <c r="J95" s="145">
        <f t="shared" si="8"/>
        <v>0.83004049299999993</v>
      </c>
      <c r="K95" s="149">
        <f t="shared" si="9"/>
        <v>70.179572991041709</v>
      </c>
    </row>
    <row r="96" spans="1:11">
      <c r="A96" s="138">
        <f t="shared" si="6"/>
        <v>0.78797499999999998</v>
      </c>
      <c r="B96" s="138">
        <v>787.97500000000002</v>
      </c>
      <c r="C96" s="138">
        <v>86.230999999999995</v>
      </c>
      <c r="D96" s="138">
        <v>13.769</v>
      </c>
      <c r="E96" s="138">
        <v>87.825999999999993</v>
      </c>
      <c r="F96" s="138">
        <v>12.173999999999999</v>
      </c>
      <c r="G96" s="138">
        <f t="shared" si="7"/>
        <v>86.230999999999995</v>
      </c>
      <c r="H96" s="138">
        <v>1</v>
      </c>
      <c r="I96" s="138">
        <v>1</v>
      </c>
      <c r="J96" s="145">
        <f t="shared" si="8"/>
        <v>0.83037376749999992</v>
      </c>
      <c r="K96" s="149">
        <f t="shared" si="9"/>
        <v>70.050154405799645</v>
      </c>
    </row>
    <row r="97" spans="1:11">
      <c r="A97" s="138">
        <f t="shared" si="6"/>
        <v>0.79113900000000004</v>
      </c>
      <c r="B97" s="138">
        <v>791.13900000000001</v>
      </c>
      <c r="C97" s="138">
        <v>86.040999999999997</v>
      </c>
      <c r="D97" s="138">
        <v>13.959</v>
      </c>
      <c r="E97" s="138">
        <v>87.674000000000007</v>
      </c>
      <c r="F97" s="138">
        <v>12.326000000000001</v>
      </c>
      <c r="G97" s="138">
        <f t="shared" si="7"/>
        <v>86.040999999999997</v>
      </c>
      <c r="H97" s="138">
        <v>1</v>
      </c>
      <c r="I97" s="138">
        <v>1</v>
      </c>
      <c r="J97" s="145">
        <f t="shared" si="8"/>
        <v>0.83070693669999995</v>
      </c>
      <c r="K97" s="149">
        <f t="shared" si="9"/>
        <v>70</v>
      </c>
    </row>
    <row r="98" spans="1:11">
      <c r="A98" s="138">
        <f t="shared" si="6"/>
        <v>0.79430400000000001</v>
      </c>
      <c r="B98" s="138">
        <v>794.30399999999997</v>
      </c>
      <c r="C98" s="138">
        <v>85.858000000000004</v>
      </c>
      <c r="D98" s="138">
        <v>14.141999999999999</v>
      </c>
      <c r="E98" s="138">
        <v>87.525999999999996</v>
      </c>
      <c r="F98" s="138">
        <v>12.474</v>
      </c>
      <c r="G98" s="138">
        <f t="shared" si="7"/>
        <v>85.858000000000004</v>
      </c>
      <c r="H98" s="138">
        <v>1</v>
      </c>
      <c r="I98" s="138">
        <v>1</v>
      </c>
      <c r="J98" s="145">
        <f t="shared" si="8"/>
        <v>0.83104021119999993</v>
      </c>
      <c r="K98" s="149">
        <f t="shared" si="9"/>
        <v>70</v>
      </c>
    </row>
    <row r="99" spans="1:11">
      <c r="A99" s="138">
        <f t="shared" si="6"/>
        <v>0.79746799999999995</v>
      </c>
      <c r="B99" s="138">
        <v>797.46799999999996</v>
      </c>
      <c r="C99" s="138">
        <v>85.68</v>
      </c>
      <c r="D99" s="138">
        <v>14.32</v>
      </c>
      <c r="E99" s="138">
        <v>87.382000000000005</v>
      </c>
      <c r="F99" s="138">
        <v>12.618</v>
      </c>
      <c r="G99" s="138">
        <f t="shared" si="7"/>
        <v>85.68</v>
      </c>
      <c r="H99" s="138">
        <v>1</v>
      </c>
      <c r="I99" s="138">
        <v>1</v>
      </c>
      <c r="J99" s="145">
        <f t="shared" si="8"/>
        <v>0.83137338039999997</v>
      </c>
      <c r="K99" s="149">
        <f t="shared" si="9"/>
        <v>70</v>
      </c>
    </row>
    <row r="100" spans="1:11">
      <c r="A100" s="138">
        <f t="shared" si="6"/>
        <v>0.80063300000000004</v>
      </c>
      <c r="B100" s="138">
        <v>800.63300000000004</v>
      </c>
      <c r="C100" s="138">
        <v>85.507999999999996</v>
      </c>
      <c r="D100" s="138">
        <v>14.492000000000001</v>
      </c>
      <c r="E100" s="138">
        <v>87.242999999999995</v>
      </c>
      <c r="F100" s="138">
        <v>12.757</v>
      </c>
      <c r="G100" s="138">
        <f t="shared" si="7"/>
        <v>85.507999999999996</v>
      </c>
      <c r="H100" s="138">
        <v>1</v>
      </c>
      <c r="I100" s="138">
        <v>1</v>
      </c>
      <c r="J100" s="145">
        <f t="shared" si="8"/>
        <v>0.83170665489999995</v>
      </c>
      <c r="K100" s="149">
        <f t="shared" si="9"/>
        <v>70</v>
      </c>
    </row>
    <row r="101" spans="1:11">
      <c r="A101" s="138">
        <f t="shared" si="6"/>
        <v>0.80379699999999998</v>
      </c>
      <c r="B101" s="138">
        <v>803.79700000000003</v>
      </c>
      <c r="C101" s="138">
        <v>85.340999999999994</v>
      </c>
      <c r="D101" s="138">
        <v>14.659000000000001</v>
      </c>
      <c r="E101" s="138">
        <v>87.108999999999995</v>
      </c>
      <c r="F101" s="138">
        <v>12.891</v>
      </c>
      <c r="G101" s="138">
        <f t="shared" si="7"/>
        <v>85.340999999999994</v>
      </c>
      <c r="H101" s="138">
        <v>1</v>
      </c>
      <c r="I101" s="138">
        <v>1</v>
      </c>
      <c r="J101" s="145">
        <f t="shared" si="8"/>
        <v>0.83203982409999999</v>
      </c>
      <c r="K101" s="149">
        <f t="shared" si="9"/>
        <v>70</v>
      </c>
    </row>
    <row r="102" spans="1:11">
      <c r="A102" s="138">
        <f t="shared" si="6"/>
        <v>0.80696199999999996</v>
      </c>
      <c r="B102" s="138">
        <v>806.96199999999999</v>
      </c>
      <c r="C102" s="138">
        <v>85.18</v>
      </c>
      <c r="D102" s="138">
        <v>14.82</v>
      </c>
      <c r="E102" s="138">
        <v>86.978999999999999</v>
      </c>
      <c r="F102" s="138">
        <v>13.021000000000001</v>
      </c>
      <c r="G102" s="138">
        <f t="shared" si="7"/>
        <v>85.18</v>
      </c>
      <c r="H102" s="138">
        <v>1</v>
      </c>
      <c r="I102" s="138">
        <v>1</v>
      </c>
      <c r="J102" s="145">
        <f t="shared" si="8"/>
        <v>0.83237309859999997</v>
      </c>
      <c r="K102" s="149">
        <f t="shared" si="9"/>
        <v>70</v>
      </c>
    </row>
    <row r="103" spans="1:11">
      <c r="A103" s="138">
        <f t="shared" si="6"/>
        <v>0.81012699999999993</v>
      </c>
      <c r="B103" s="138">
        <v>810.12699999999995</v>
      </c>
      <c r="C103" s="138">
        <v>85.025000000000006</v>
      </c>
      <c r="D103" s="138">
        <v>14.975</v>
      </c>
      <c r="E103" s="138">
        <v>86.852999999999994</v>
      </c>
      <c r="F103" s="138">
        <v>13.147</v>
      </c>
      <c r="G103" s="138">
        <f t="shared" si="7"/>
        <v>85.025000000000006</v>
      </c>
      <c r="H103" s="138">
        <v>1</v>
      </c>
      <c r="I103" s="138">
        <v>1</v>
      </c>
      <c r="J103" s="145">
        <f t="shared" si="8"/>
        <v>0.83270637309999995</v>
      </c>
      <c r="K103" s="149">
        <f t="shared" si="9"/>
        <v>70</v>
      </c>
    </row>
    <row r="104" spans="1:11">
      <c r="A104" s="138">
        <f t="shared" si="6"/>
        <v>0.8132910000000001</v>
      </c>
      <c r="B104" s="138">
        <v>813.29100000000005</v>
      </c>
      <c r="C104" s="138">
        <v>84.875</v>
      </c>
      <c r="D104" s="138">
        <v>15.125</v>
      </c>
      <c r="E104" s="138">
        <v>86.731999999999999</v>
      </c>
      <c r="F104" s="138">
        <v>13.268000000000001</v>
      </c>
      <c r="G104" s="138">
        <f t="shared" si="7"/>
        <v>84.875</v>
      </c>
      <c r="H104" s="138">
        <v>1</v>
      </c>
      <c r="I104" s="138">
        <v>1</v>
      </c>
      <c r="J104" s="145">
        <f t="shared" si="8"/>
        <v>0.83303954229999999</v>
      </c>
      <c r="K104" s="149">
        <f t="shared" si="9"/>
        <v>70</v>
      </c>
    </row>
    <row r="105" spans="1:11">
      <c r="A105" s="138">
        <f t="shared" si="6"/>
        <v>0.81645600000000007</v>
      </c>
      <c r="B105" s="138">
        <v>816.45600000000002</v>
      </c>
      <c r="C105" s="138">
        <v>84.73</v>
      </c>
      <c r="D105" s="138">
        <v>15.27</v>
      </c>
      <c r="E105" s="138">
        <v>86.614999999999995</v>
      </c>
      <c r="F105" s="138">
        <v>13.385</v>
      </c>
      <c r="G105" s="138">
        <f t="shared" si="7"/>
        <v>84.73</v>
      </c>
      <c r="H105" s="138">
        <v>1</v>
      </c>
      <c r="I105" s="138">
        <v>1</v>
      </c>
      <c r="J105" s="145">
        <f t="shared" si="8"/>
        <v>0.83337281679999997</v>
      </c>
      <c r="K105" s="149">
        <f t="shared" si="9"/>
        <v>70</v>
      </c>
    </row>
    <row r="106" spans="1:11">
      <c r="A106" s="138">
        <f t="shared" si="6"/>
        <v>0.81962000000000002</v>
      </c>
      <c r="B106" s="138">
        <v>819.62</v>
      </c>
      <c r="C106" s="138">
        <v>84.591999999999999</v>
      </c>
      <c r="D106" s="138">
        <v>15.407999999999999</v>
      </c>
      <c r="E106" s="138">
        <v>86.503</v>
      </c>
      <c r="F106" s="138">
        <v>13.497</v>
      </c>
      <c r="G106" s="138">
        <f t="shared" si="7"/>
        <v>84.591999999999999</v>
      </c>
      <c r="H106" s="138">
        <v>1</v>
      </c>
      <c r="I106" s="138">
        <v>1</v>
      </c>
      <c r="J106" s="145">
        <f t="shared" si="8"/>
        <v>0.83370598600000001</v>
      </c>
      <c r="K106" s="149">
        <f t="shared" si="9"/>
        <v>70</v>
      </c>
    </row>
    <row r="107" spans="1:11">
      <c r="A107" s="138">
        <f t="shared" si="6"/>
        <v>0.82278499999999999</v>
      </c>
      <c r="B107" s="138">
        <v>822.78499999999997</v>
      </c>
      <c r="C107" s="138">
        <v>84.459000000000003</v>
      </c>
      <c r="D107" s="138">
        <v>15.541</v>
      </c>
      <c r="E107" s="138">
        <v>86.396000000000001</v>
      </c>
      <c r="F107" s="138">
        <v>13.603999999999999</v>
      </c>
      <c r="G107" s="138">
        <f t="shared" si="7"/>
        <v>84.459000000000003</v>
      </c>
      <c r="H107" s="138">
        <v>1</v>
      </c>
      <c r="I107" s="138">
        <v>1</v>
      </c>
      <c r="J107" s="145">
        <f t="shared" si="8"/>
        <v>0.83403926049999999</v>
      </c>
      <c r="K107" s="149">
        <f t="shared" si="9"/>
        <v>70</v>
      </c>
    </row>
    <row r="108" spans="1:11">
      <c r="A108" s="138">
        <f t="shared" si="6"/>
        <v>0.82594899999999993</v>
      </c>
      <c r="B108" s="138">
        <v>825.94899999999996</v>
      </c>
      <c r="C108" s="138">
        <v>84.331000000000003</v>
      </c>
      <c r="D108" s="138">
        <v>15.669</v>
      </c>
      <c r="E108" s="138">
        <v>86.293000000000006</v>
      </c>
      <c r="F108" s="138">
        <v>13.707000000000001</v>
      </c>
      <c r="G108" s="138">
        <f t="shared" si="7"/>
        <v>84.331000000000003</v>
      </c>
      <c r="H108" s="138">
        <v>1</v>
      </c>
      <c r="I108" s="138">
        <v>1</v>
      </c>
      <c r="J108" s="145">
        <f t="shared" si="8"/>
        <v>0.83437242969999992</v>
      </c>
      <c r="K108" s="149">
        <f t="shared" si="9"/>
        <v>70</v>
      </c>
    </row>
    <row r="109" spans="1:11">
      <c r="A109" s="138">
        <f t="shared" si="6"/>
        <v>0.82911400000000002</v>
      </c>
      <c r="B109" s="138">
        <v>829.11400000000003</v>
      </c>
      <c r="C109" s="138">
        <v>84.209000000000003</v>
      </c>
      <c r="D109" s="138">
        <v>15.791</v>
      </c>
      <c r="E109" s="138">
        <v>86.194000000000003</v>
      </c>
      <c r="F109" s="138">
        <v>13.805999999999999</v>
      </c>
      <c r="G109" s="138">
        <f t="shared" si="7"/>
        <v>84.209000000000003</v>
      </c>
      <c r="H109" s="138">
        <v>1</v>
      </c>
      <c r="I109" s="138">
        <v>1</v>
      </c>
      <c r="J109" s="145">
        <f t="shared" si="8"/>
        <v>0.8347057041999999</v>
      </c>
      <c r="K109" s="149">
        <f t="shared" si="9"/>
        <v>70</v>
      </c>
    </row>
    <row r="110" spans="1:11">
      <c r="A110" s="138">
        <f t="shared" si="6"/>
        <v>0.83227800000000007</v>
      </c>
      <c r="B110" s="138">
        <v>832.27800000000002</v>
      </c>
      <c r="C110" s="138">
        <v>84.091999999999999</v>
      </c>
      <c r="D110" s="138">
        <v>15.907999999999999</v>
      </c>
      <c r="E110" s="138">
        <v>86.099000000000004</v>
      </c>
      <c r="F110" s="138">
        <v>13.901</v>
      </c>
      <c r="G110" s="138">
        <f t="shared" si="7"/>
        <v>84.091999999999999</v>
      </c>
      <c r="H110" s="138">
        <v>1</v>
      </c>
      <c r="I110" s="138">
        <v>1</v>
      </c>
      <c r="J110" s="145">
        <f t="shared" si="8"/>
        <v>0.83503887339999994</v>
      </c>
      <c r="K110" s="149">
        <f t="shared" si="9"/>
        <v>70</v>
      </c>
    </row>
    <row r="111" spans="1:11">
      <c r="A111" s="138">
        <f t="shared" si="6"/>
        <v>0.83544299999999994</v>
      </c>
      <c r="B111" s="138">
        <v>835.44299999999998</v>
      </c>
      <c r="C111" s="138">
        <v>83.98</v>
      </c>
      <c r="D111" s="138">
        <v>16.02</v>
      </c>
      <c r="E111" s="138">
        <v>86.009</v>
      </c>
      <c r="F111" s="138">
        <v>13.991</v>
      </c>
      <c r="G111" s="138">
        <f t="shared" si="7"/>
        <v>83.98</v>
      </c>
      <c r="H111" s="138">
        <v>1</v>
      </c>
      <c r="I111" s="138">
        <v>1</v>
      </c>
      <c r="J111" s="145">
        <f t="shared" si="8"/>
        <v>0.83537214789999992</v>
      </c>
      <c r="K111" s="149">
        <f t="shared" si="9"/>
        <v>70</v>
      </c>
    </row>
    <row r="112" spans="1:11">
      <c r="A112" s="138">
        <f t="shared" si="6"/>
        <v>0.83860799999999991</v>
      </c>
      <c r="B112" s="138">
        <v>838.60799999999995</v>
      </c>
      <c r="C112" s="138">
        <v>83.873999999999995</v>
      </c>
      <c r="D112" s="138">
        <v>16.126000000000001</v>
      </c>
      <c r="E112" s="138">
        <v>85.924000000000007</v>
      </c>
      <c r="F112" s="138">
        <v>14.076000000000001</v>
      </c>
      <c r="G112" s="138">
        <f t="shared" si="7"/>
        <v>83.873999999999995</v>
      </c>
      <c r="H112" s="138">
        <v>1</v>
      </c>
      <c r="I112" s="138">
        <v>1</v>
      </c>
      <c r="J112" s="145">
        <f t="shared" si="8"/>
        <v>0.83570542240000001</v>
      </c>
      <c r="K112" s="149">
        <f t="shared" si="9"/>
        <v>70</v>
      </c>
    </row>
    <row r="113" spans="1:11">
      <c r="A113" s="138">
        <f t="shared" si="6"/>
        <v>0.84177200000000008</v>
      </c>
      <c r="B113" s="138">
        <v>841.77200000000005</v>
      </c>
      <c r="C113" s="138">
        <v>83.772999999999996</v>
      </c>
      <c r="D113" s="138">
        <v>16.227</v>
      </c>
      <c r="E113" s="138">
        <v>85.843000000000004</v>
      </c>
      <c r="F113" s="138">
        <v>14.157</v>
      </c>
      <c r="G113" s="138">
        <f t="shared" si="7"/>
        <v>83.772999999999996</v>
      </c>
      <c r="H113" s="138">
        <v>1</v>
      </c>
      <c r="I113" s="138">
        <v>1</v>
      </c>
      <c r="J113" s="145">
        <f t="shared" si="8"/>
        <v>0.83603859159999994</v>
      </c>
      <c r="K113" s="149">
        <f t="shared" si="9"/>
        <v>70</v>
      </c>
    </row>
    <row r="114" spans="1:11">
      <c r="A114" s="138">
        <f t="shared" si="6"/>
        <v>0.84493700000000005</v>
      </c>
      <c r="B114" s="138">
        <v>844.93700000000001</v>
      </c>
      <c r="C114" s="138">
        <v>83.677000000000007</v>
      </c>
      <c r="D114" s="138">
        <v>16.323</v>
      </c>
      <c r="E114" s="138">
        <v>85.766000000000005</v>
      </c>
      <c r="F114" s="138">
        <v>14.234</v>
      </c>
      <c r="G114" s="138">
        <f t="shared" si="7"/>
        <v>83.677000000000007</v>
      </c>
      <c r="H114" s="138">
        <v>1</v>
      </c>
      <c r="I114" s="138">
        <v>1</v>
      </c>
      <c r="J114" s="145">
        <f t="shared" si="8"/>
        <v>0.83637186609999992</v>
      </c>
      <c r="K114" s="149">
        <f t="shared" si="9"/>
        <v>70</v>
      </c>
    </row>
    <row r="115" spans="1:11">
      <c r="A115" s="138">
        <f t="shared" si="6"/>
        <v>0.84810099999999999</v>
      </c>
      <c r="B115" s="138">
        <v>848.101</v>
      </c>
      <c r="C115" s="138">
        <v>83.585999999999999</v>
      </c>
      <c r="D115" s="138">
        <v>16.414000000000001</v>
      </c>
      <c r="E115" s="138">
        <v>85.692999999999998</v>
      </c>
      <c r="F115" s="138">
        <v>14.307</v>
      </c>
      <c r="G115" s="138">
        <f t="shared" si="7"/>
        <v>83.585999999999999</v>
      </c>
      <c r="H115" s="138">
        <v>1</v>
      </c>
      <c r="I115" s="138">
        <v>1</v>
      </c>
      <c r="J115" s="145">
        <f t="shared" si="8"/>
        <v>0.83670503529999996</v>
      </c>
      <c r="K115" s="149">
        <f t="shared" si="9"/>
        <v>70</v>
      </c>
    </row>
    <row r="116" spans="1:11">
      <c r="A116" s="138">
        <f t="shared" si="6"/>
        <v>0.85126599999999997</v>
      </c>
      <c r="B116" s="138">
        <v>851.26599999999996</v>
      </c>
      <c r="C116" s="138">
        <v>83.5</v>
      </c>
      <c r="D116" s="138">
        <v>16.5</v>
      </c>
      <c r="E116" s="138">
        <v>85.623999999999995</v>
      </c>
      <c r="F116" s="138">
        <v>14.375999999999999</v>
      </c>
      <c r="G116" s="138">
        <f t="shared" si="7"/>
        <v>83.5</v>
      </c>
      <c r="H116" s="138">
        <v>1</v>
      </c>
      <c r="I116" s="138">
        <v>1</v>
      </c>
      <c r="J116" s="145">
        <f t="shared" si="8"/>
        <v>0.83703830979999994</v>
      </c>
      <c r="K116" s="149">
        <f t="shared" si="9"/>
        <v>70</v>
      </c>
    </row>
    <row r="117" spans="1:11">
      <c r="A117" s="138">
        <f t="shared" si="6"/>
        <v>0.85442999999999991</v>
      </c>
      <c r="B117" s="138">
        <v>854.43</v>
      </c>
      <c r="C117" s="138">
        <v>83.42</v>
      </c>
      <c r="D117" s="138">
        <v>16.579999999999998</v>
      </c>
      <c r="E117" s="138">
        <v>85.56</v>
      </c>
      <c r="F117" s="138">
        <v>14.44</v>
      </c>
      <c r="G117" s="138">
        <f t="shared" si="7"/>
        <v>83.42</v>
      </c>
      <c r="H117" s="138">
        <v>1</v>
      </c>
      <c r="I117" s="138">
        <v>1</v>
      </c>
      <c r="J117" s="145">
        <f t="shared" si="8"/>
        <v>0.83737147899999997</v>
      </c>
      <c r="K117" s="149">
        <f t="shared" si="9"/>
        <v>70</v>
      </c>
    </row>
    <row r="118" spans="1:11">
      <c r="A118" s="138">
        <f t="shared" si="6"/>
        <v>0.857595</v>
      </c>
      <c r="B118" s="138">
        <v>857.59500000000003</v>
      </c>
      <c r="C118" s="138">
        <v>83.343999999999994</v>
      </c>
      <c r="D118" s="138">
        <v>16.655999999999999</v>
      </c>
      <c r="E118" s="138">
        <v>85.498999999999995</v>
      </c>
      <c r="F118" s="138">
        <v>14.500999999999999</v>
      </c>
      <c r="G118" s="138">
        <f t="shared" si="7"/>
        <v>83.343999999999994</v>
      </c>
      <c r="H118" s="138">
        <v>1</v>
      </c>
      <c r="I118" s="138">
        <v>1</v>
      </c>
      <c r="J118" s="145">
        <f t="shared" si="8"/>
        <v>0.83770475349999995</v>
      </c>
      <c r="K118" s="149">
        <f t="shared" si="9"/>
        <v>70</v>
      </c>
    </row>
    <row r="119" spans="1:11">
      <c r="A119" s="138">
        <f t="shared" si="6"/>
        <v>0.86075900000000005</v>
      </c>
      <c r="B119" s="138">
        <v>860.75900000000001</v>
      </c>
      <c r="C119" s="138">
        <v>83.272999999999996</v>
      </c>
      <c r="D119" s="138">
        <v>16.727</v>
      </c>
      <c r="E119" s="138">
        <v>85.442999999999998</v>
      </c>
      <c r="F119" s="138">
        <v>14.557</v>
      </c>
      <c r="G119" s="138">
        <f t="shared" si="7"/>
        <v>83.272999999999996</v>
      </c>
      <c r="H119" s="138">
        <v>1</v>
      </c>
      <c r="I119" s="138">
        <v>1</v>
      </c>
      <c r="J119" s="145">
        <f t="shared" si="8"/>
        <v>0.83803792269999999</v>
      </c>
      <c r="K119" s="149">
        <f t="shared" si="9"/>
        <v>70</v>
      </c>
    </row>
    <row r="120" spans="1:11">
      <c r="A120" s="138">
        <f t="shared" si="6"/>
        <v>0.86392400000000003</v>
      </c>
      <c r="B120" s="138">
        <v>863.92399999999998</v>
      </c>
      <c r="C120" s="138">
        <v>83.206999999999994</v>
      </c>
      <c r="D120" s="138">
        <v>16.792999999999999</v>
      </c>
      <c r="E120" s="138">
        <v>85.391000000000005</v>
      </c>
      <c r="F120" s="138">
        <v>14.609</v>
      </c>
      <c r="G120" s="138">
        <f t="shared" si="7"/>
        <v>83.206999999999994</v>
      </c>
      <c r="H120" s="138">
        <v>1</v>
      </c>
      <c r="I120" s="138">
        <v>1</v>
      </c>
      <c r="J120" s="145">
        <f t="shared" si="8"/>
        <v>0.83837119719999997</v>
      </c>
      <c r="K120" s="149">
        <f t="shared" si="9"/>
        <v>70</v>
      </c>
    </row>
    <row r="121" spans="1:11">
      <c r="A121" s="138">
        <f t="shared" si="6"/>
        <v>0.86708900000000011</v>
      </c>
      <c r="B121" s="138">
        <v>867.08900000000006</v>
      </c>
      <c r="C121" s="138">
        <v>83.144999999999996</v>
      </c>
      <c r="D121" s="138">
        <v>16.855</v>
      </c>
      <c r="E121" s="138">
        <v>85.341999999999999</v>
      </c>
      <c r="F121" s="138">
        <v>14.657999999999999</v>
      </c>
      <c r="G121" s="138">
        <f t="shared" si="7"/>
        <v>83.144999999999996</v>
      </c>
      <c r="H121" s="138">
        <v>1</v>
      </c>
      <c r="I121" s="138">
        <v>1</v>
      </c>
      <c r="J121" s="145">
        <f t="shared" si="8"/>
        <v>0.83870447169999995</v>
      </c>
      <c r="K121" s="149">
        <f t="shared" si="9"/>
        <v>70</v>
      </c>
    </row>
    <row r="122" spans="1:11">
      <c r="A122" s="138">
        <f t="shared" si="6"/>
        <v>0.87025300000000005</v>
      </c>
      <c r="B122" s="138">
        <v>870.25300000000004</v>
      </c>
      <c r="C122" s="138">
        <v>83.088999999999999</v>
      </c>
      <c r="D122" s="138">
        <v>16.911000000000001</v>
      </c>
      <c r="E122" s="138">
        <v>85.298000000000002</v>
      </c>
      <c r="F122" s="138">
        <v>14.702</v>
      </c>
      <c r="G122" s="138">
        <f t="shared" si="7"/>
        <v>83.088999999999999</v>
      </c>
      <c r="H122" s="138">
        <v>1</v>
      </c>
      <c r="I122" s="138">
        <v>1</v>
      </c>
      <c r="J122" s="145">
        <f t="shared" si="8"/>
        <v>0.83903764089999999</v>
      </c>
      <c r="K122" s="149">
        <f t="shared" si="9"/>
        <v>70</v>
      </c>
    </row>
    <row r="123" spans="1:11">
      <c r="A123" s="138">
        <f t="shared" si="6"/>
        <v>0.87341800000000003</v>
      </c>
      <c r="B123" s="138">
        <v>873.41800000000001</v>
      </c>
      <c r="C123" s="138">
        <v>83.036000000000001</v>
      </c>
      <c r="D123" s="138">
        <v>16.963999999999999</v>
      </c>
      <c r="E123" s="138">
        <v>85.257000000000005</v>
      </c>
      <c r="F123" s="138">
        <v>14.743</v>
      </c>
      <c r="G123" s="138">
        <f t="shared" si="7"/>
        <v>83.036000000000001</v>
      </c>
      <c r="H123" s="138">
        <v>1</v>
      </c>
      <c r="I123" s="138">
        <v>1</v>
      </c>
      <c r="J123" s="145">
        <f t="shared" si="8"/>
        <v>0.83937091539999997</v>
      </c>
      <c r="K123" s="149">
        <f t="shared" si="9"/>
        <v>70</v>
      </c>
    </row>
    <row r="124" spans="1:11">
      <c r="A124" s="138">
        <f t="shared" si="6"/>
        <v>0.87658199999999997</v>
      </c>
      <c r="B124" s="138">
        <v>876.58199999999999</v>
      </c>
      <c r="C124" s="138">
        <v>82.989000000000004</v>
      </c>
      <c r="D124" s="138">
        <v>17.010999999999999</v>
      </c>
      <c r="E124" s="138">
        <v>85.22</v>
      </c>
      <c r="F124" s="138">
        <v>14.78</v>
      </c>
      <c r="G124" s="138">
        <f t="shared" si="7"/>
        <v>82.989000000000004</v>
      </c>
      <c r="H124" s="138">
        <v>1</v>
      </c>
      <c r="I124" s="138">
        <v>1</v>
      </c>
      <c r="J124" s="145">
        <f t="shared" si="8"/>
        <v>0.8397040845999999</v>
      </c>
      <c r="K124" s="149">
        <f t="shared" si="9"/>
        <v>70</v>
      </c>
    </row>
    <row r="125" spans="1:11">
      <c r="A125" s="138">
        <f t="shared" si="6"/>
        <v>0.87974699999999995</v>
      </c>
      <c r="B125" s="138">
        <v>879.74699999999996</v>
      </c>
      <c r="C125" s="138">
        <v>82.945999999999998</v>
      </c>
      <c r="D125" s="138">
        <v>17.053999999999998</v>
      </c>
      <c r="E125" s="138">
        <v>85.186999999999998</v>
      </c>
      <c r="F125" s="138">
        <v>14.813000000000001</v>
      </c>
      <c r="G125" s="138">
        <f t="shared" si="7"/>
        <v>82.945999999999998</v>
      </c>
      <c r="H125" s="138">
        <v>1</v>
      </c>
      <c r="I125" s="138">
        <v>1</v>
      </c>
      <c r="J125" s="145">
        <f t="shared" si="8"/>
        <v>0.84003735909999999</v>
      </c>
      <c r="K125" s="149">
        <f t="shared" si="9"/>
        <v>70</v>
      </c>
    </row>
    <row r="126" spans="1:11">
      <c r="A126" s="138">
        <f t="shared" si="6"/>
        <v>0.88291099999999989</v>
      </c>
      <c r="B126" s="138">
        <v>882.91099999999994</v>
      </c>
      <c r="C126" s="138">
        <v>82.906999999999996</v>
      </c>
      <c r="D126" s="138">
        <v>17.093</v>
      </c>
      <c r="E126" s="138">
        <v>85.158000000000001</v>
      </c>
      <c r="F126" s="138">
        <v>14.842000000000001</v>
      </c>
      <c r="G126" s="138">
        <f t="shared" si="7"/>
        <v>82.906999999999996</v>
      </c>
      <c r="H126" s="138">
        <v>1</v>
      </c>
      <c r="I126" s="138">
        <v>1</v>
      </c>
      <c r="J126" s="145">
        <f t="shared" si="8"/>
        <v>0.84037052829999992</v>
      </c>
      <c r="K126" s="149">
        <f t="shared" si="9"/>
        <v>70</v>
      </c>
    </row>
    <row r="127" spans="1:11">
      <c r="A127" s="138">
        <f t="shared" si="6"/>
        <v>0.88607599999999997</v>
      </c>
      <c r="B127" s="138">
        <v>886.07600000000002</v>
      </c>
      <c r="C127" s="138">
        <v>82.872</v>
      </c>
      <c r="D127" s="138">
        <v>17.128</v>
      </c>
      <c r="E127" s="138">
        <v>85.132000000000005</v>
      </c>
      <c r="F127" s="138">
        <v>14.868</v>
      </c>
      <c r="G127" s="138">
        <f t="shared" si="7"/>
        <v>82.872</v>
      </c>
      <c r="H127" s="138">
        <v>1</v>
      </c>
      <c r="I127" s="138">
        <v>1</v>
      </c>
      <c r="J127" s="145">
        <f t="shared" si="8"/>
        <v>0.84070380280000001</v>
      </c>
      <c r="K127" s="149">
        <f t="shared" si="9"/>
        <v>70</v>
      </c>
    </row>
    <row r="128" spans="1:11">
      <c r="A128" s="138">
        <f t="shared" si="6"/>
        <v>0.88924099999999995</v>
      </c>
      <c r="B128" s="138">
        <v>889.24099999999999</v>
      </c>
      <c r="C128" s="138">
        <v>82.841999999999999</v>
      </c>
      <c r="D128" s="138">
        <v>17.158000000000001</v>
      </c>
      <c r="E128" s="138">
        <v>85.108999999999995</v>
      </c>
      <c r="F128" s="138">
        <v>14.891</v>
      </c>
      <c r="G128" s="138">
        <f t="shared" si="7"/>
        <v>82.841999999999999</v>
      </c>
      <c r="H128" s="138">
        <v>1</v>
      </c>
      <c r="I128" s="138">
        <v>1</v>
      </c>
      <c r="J128" s="145">
        <f t="shared" si="8"/>
        <v>0.84103707729999999</v>
      </c>
      <c r="K128" s="149">
        <f t="shared" si="9"/>
        <v>70</v>
      </c>
    </row>
    <row r="129" spans="1:11">
      <c r="A129" s="138">
        <f t="shared" si="6"/>
        <v>0.892405</v>
      </c>
      <c r="B129" s="138">
        <v>892.40499999999997</v>
      </c>
      <c r="C129" s="138">
        <v>82.816000000000003</v>
      </c>
      <c r="D129" s="138">
        <v>17.184000000000001</v>
      </c>
      <c r="E129" s="138">
        <v>85.090999999999994</v>
      </c>
      <c r="F129" s="138">
        <v>14.909000000000001</v>
      </c>
      <c r="G129" s="138">
        <f t="shared" si="7"/>
        <v>82.816000000000003</v>
      </c>
      <c r="H129" s="138">
        <v>1</v>
      </c>
      <c r="I129" s="138">
        <v>1</v>
      </c>
      <c r="J129" s="145">
        <f t="shared" si="8"/>
        <v>0.84137024649999992</v>
      </c>
      <c r="K129" s="149">
        <f t="shared" si="9"/>
        <v>70</v>
      </c>
    </row>
    <row r="130" spans="1:11">
      <c r="A130" s="138">
        <f t="shared" si="6"/>
        <v>0.89557000000000009</v>
      </c>
      <c r="B130" s="138">
        <v>895.57</v>
      </c>
      <c r="C130" s="138">
        <v>82.793999999999997</v>
      </c>
      <c r="D130" s="138">
        <v>17.206</v>
      </c>
      <c r="E130" s="138">
        <v>85.075000000000003</v>
      </c>
      <c r="F130" s="138">
        <v>14.925000000000001</v>
      </c>
      <c r="G130" s="138">
        <f t="shared" si="7"/>
        <v>82.793999999999997</v>
      </c>
      <c r="H130" s="138">
        <v>1</v>
      </c>
      <c r="I130" s="138">
        <v>1</v>
      </c>
      <c r="J130" s="145">
        <f t="shared" si="8"/>
        <v>0.84170352100000001</v>
      </c>
      <c r="K130" s="149">
        <f t="shared" si="9"/>
        <v>70</v>
      </c>
    </row>
    <row r="131" spans="1:11">
      <c r="A131" s="138">
        <f t="shared" si="6"/>
        <v>0.89873400000000003</v>
      </c>
      <c r="B131" s="138">
        <v>898.73400000000004</v>
      </c>
      <c r="C131" s="138">
        <v>82.775999999999996</v>
      </c>
      <c r="D131" s="138">
        <v>17.224</v>
      </c>
      <c r="E131" s="138">
        <v>85.063000000000002</v>
      </c>
      <c r="F131" s="138">
        <v>14.936999999999999</v>
      </c>
      <c r="G131" s="138">
        <f t="shared" si="7"/>
        <v>82.775999999999996</v>
      </c>
      <c r="H131" s="138">
        <v>1</v>
      </c>
      <c r="I131" s="138">
        <v>1</v>
      </c>
      <c r="J131" s="145">
        <f t="shared" si="8"/>
        <v>0.84203669019999994</v>
      </c>
      <c r="K131" s="149">
        <f t="shared" si="9"/>
        <v>70</v>
      </c>
    </row>
    <row r="132" spans="1:11">
      <c r="A132" s="138">
        <f t="shared" si="6"/>
        <v>0.90189900000000001</v>
      </c>
      <c r="B132" s="138">
        <v>901.899</v>
      </c>
      <c r="C132" s="138">
        <v>82.760999999999996</v>
      </c>
      <c r="D132" s="138">
        <v>17.239000000000001</v>
      </c>
      <c r="E132" s="138">
        <v>85.055000000000007</v>
      </c>
      <c r="F132" s="138">
        <v>14.945</v>
      </c>
      <c r="G132" s="138">
        <f t="shared" si="7"/>
        <v>82.760999999999996</v>
      </c>
      <c r="H132" s="138">
        <v>1</v>
      </c>
      <c r="I132" s="138">
        <v>1</v>
      </c>
      <c r="J132" s="145">
        <f t="shared" si="8"/>
        <v>0.84236996469999992</v>
      </c>
      <c r="K132" s="149">
        <f t="shared" si="9"/>
        <v>70</v>
      </c>
    </row>
    <row r="133" spans="1:11">
      <c r="A133" s="138">
        <f t="shared" si="6"/>
        <v>0.90506299999999995</v>
      </c>
      <c r="B133" s="138">
        <v>905.06299999999999</v>
      </c>
      <c r="C133" s="138">
        <v>82.751000000000005</v>
      </c>
      <c r="D133" s="138">
        <v>17.248999999999999</v>
      </c>
      <c r="E133" s="138">
        <v>85.049000000000007</v>
      </c>
      <c r="F133" s="138">
        <v>14.951000000000001</v>
      </c>
      <c r="G133" s="138">
        <f t="shared" si="7"/>
        <v>82.751000000000005</v>
      </c>
      <c r="H133" s="138">
        <v>1</v>
      </c>
      <c r="I133" s="138">
        <v>1</v>
      </c>
      <c r="J133" s="145">
        <f t="shared" si="8"/>
        <v>0.84270313389999996</v>
      </c>
      <c r="K133" s="149">
        <f t="shared" si="9"/>
        <v>70</v>
      </c>
    </row>
    <row r="134" spans="1:11">
      <c r="A134" s="138">
        <f t="shared" ref="A134:A197" si="10">B134/1000</f>
        <v>0.90822799999999992</v>
      </c>
      <c r="B134" s="138">
        <v>908.22799999999995</v>
      </c>
      <c r="C134" s="138">
        <v>82.745000000000005</v>
      </c>
      <c r="D134" s="138">
        <v>17.254999999999999</v>
      </c>
      <c r="E134" s="138">
        <v>85.046999999999997</v>
      </c>
      <c r="F134" s="138">
        <v>14.952999999999999</v>
      </c>
      <c r="G134" s="138">
        <f t="shared" ref="G134:G197" si="11">MIN(C134,E134)</f>
        <v>82.745000000000005</v>
      </c>
      <c r="H134" s="138">
        <v>1</v>
      </c>
      <c r="I134" s="138">
        <v>1</v>
      </c>
      <c r="J134" s="145">
        <f t="shared" ref="J134:J197" si="12">MIN(B134/1000*$M$1+$O$1,1)</f>
        <v>0.84303640839999994</v>
      </c>
      <c r="K134" s="149">
        <f t="shared" ref="K134:K197" si="13">MAX(G134*H134*I134*J134*$G$2/100,70)</f>
        <v>70</v>
      </c>
    </row>
    <row r="135" spans="1:11">
      <c r="A135" s="138">
        <f t="shared" si="10"/>
        <v>0.91139200000000009</v>
      </c>
      <c r="B135" s="138">
        <v>911.39200000000005</v>
      </c>
      <c r="C135" s="138">
        <v>82.742000000000004</v>
      </c>
      <c r="D135" s="138">
        <v>17.257999999999999</v>
      </c>
      <c r="E135" s="138">
        <v>85.048000000000002</v>
      </c>
      <c r="F135" s="138">
        <v>14.952</v>
      </c>
      <c r="G135" s="138">
        <f t="shared" si="11"/>
        <v>82.742000000000004</v>
      </c>
      <c r="H135" s="138">
        <v>1</v>
      </c>
      <c r="I135" s="138">
        <v>1</v>
      </c>
      <c r="J135" s="145">
        <f t="shared" si="12"/>
        <v>0.84336957759999998</v>
      </c>
      <c r="K135" s="149">
        <f t="shared" si="13"/>
        <v>70</v>
      </c>
    </row>
    <row r="136" spans="1:11">
      <c r="A136" s="138">
        <f t="shared" si="10"/>
        <v>0.91455700000000006</v>
      </c>
      <c r="B136" s="138">
        <v>914.55700000000002</v>
      </c>
      <c r="C136" s="138">
        <v>82.742999999999995</v>
      </c>
      <c r="D136" s="138">
        <v>17.257000000000001</v>
      </c>
      <c r="E136" s="138">
        <v>85.052000000000007</v>
      </c>
      <c r="F136" s="138">
        <v>14.948</v>
      </c>
      <c r="G136" s="138">
        <f t="shared" si="11"/>
        <v>82.742999999999995</v>
      </c>
      <c r="H136" s="138">
        <v>1</v>
      </c>
      <c r="I136" s="138">
        <v>1</v>
      </c>
      <c r="J136" s="145">
        <f t="shared" si="12"/>
        <v>0.84370285209999996</v>
      </c>
      <c r="K136" s="149">
        <f t="shared" si="13"/>
        <v>70</v>
      </c>
    </row>
    <row r="137" spans="1:11">
      <c r="A137" s="138">
        <f t="shared" si="10"/>
        <v>0.91772199999999993</v>
      </c>
      <c r="B137" s="138">
        <v>917.72199999999998</v>
      </c>
      <c r="C137" s="138">
        <v>82.747</v>
      </c>
      <c r="D137" s="138">
        <v>17.253</v>
      </c>
      <c r="E137" s="138">
        <v>85.058999999999997</v>
      </c>
      <c r="F137" s="138">
        <v>14.941000000000001</v>
      </c>
      <c r="G137" s="138">
        <f t="shared" si="11"/>
        <v>82.747</v>
      </c>
      <c r="H137" s="138">
        <v>1</v>
      </c>
      <c r="I137" s="138">
        <v>1</v>
      </c>
      <c r="J137" s="145">
        <f t="shared" si="12"/>
        <v>0.84403612659999994</v>
      </c>
      <c r="K137" s="149">
        <f t="shared" si="13"/>
        <v>70</v>
      </c>
    </row>
    <row r="138" spans="1:11">
      <c r="A138" s="138">
        <f t="shared" si="10"/>
        <v>0.92088599999999998</v>
      </c>
      <c r="B138" s="138">
        <v>920.88599999999997</v>
      </c>
      <c r="C138" s="138">
        <v>82.754999999999995</v>
      </c>
      <c r="D138" s="138">
        <v>17.245000000000001</v>
      </c>
      <c r="E138" s="138">
        <v>85.069000000000003</v>
      </c>
      <c r="F138" s="138">
        <v>14.930999999999999</v>
      </c>
      <c r="G138" s="138">
        <f t="shared" si="11"/>
        <v>82.754999999999995</v>
      </c>
      <c r="H138" s="138">
        <v>1</v>
      </c>
      <c r="I138" s="138">
        <v>1</v>
      </c>
      <c r="J138" s="145">
        <f t="shared" si="12"/>
        <v>0.84436929579999997</v>
      </c>
      <c r="K138" s="149">
        <f t="shared" si="13"/>
        <v>70</v>
      </c>
    </row>
    <row r="139" spans="1:11">
      <c r="A139" s="138">
        <f t="shared" si="10"/>
        <v>0.92405100000000007</v>
      </c>
      <c r="B139" s="138">
        <v>924.05100000000004</v>
      </c>
      <c r="C139" s="138">
        <v>82.766999999999996</v>
      </c>
      <c r="D139" s="138">
        <v>17.233000000000001</v>
      </c>
      <c r="E139" s="138">
        <v>85.081999999999994</v>
      </c>
      <c r="F139" s="138">
        <v>14.917999999999999</v>
      </c>
      <c r="G139" s="138">
        <f t="shared" si="11"/>
        <v>82.766999999999996</v>
      </c>
      <c r="H139" s="138">
        <v>1</v>
      </c>
      <c r="I139" s="138">
        <v>1</v>
      </c>
      <c r="J139" s="145">
        <f t="shared" si="12"/>
        <v>0.84470257029999996</v>
      </c>
      <c r="K139" s="149">
        <f t="shared" si="13"/>
        <v>70</v>
      </c>
    </row>
    <row r="140" spans="1:11">
      <c r="A140" s="138">
        <f t="shared" si="10"/>
        <v>0.92721500000000001</v>
      </c>
      <c r="B140" s="138">
        <v>927.21500000000003</v>
      </c>
      <c r="C140" s="138">
        <v>82.781999999999996</v>
      </c>
      <c r="D140" s="138">
        <v>17.218</v>
      </c>
      <c r="E140" s="138">
        <v>85.097999999999999</v>
      </c>
      <c r="F140" s="138">
        <v>14.901999999999999</v>
      </c>
      <c r="G140" s="138">
        <f t="shared" si="11"/>
        <v>82.781999999999996</v>
      </c>
      <c r="H140" s="138">
        <v>1</v>
      </c>
      <c r="I140" s="138">
        <v>1</v>
      </c>
      <c r="J140" s="145">
        <f t="shared" si="12"/>
        <v>0.84503573949999999</v>
      </c>
      <c r="K140" s="149">
        <f t="shared" si="13"/>
        <v>70</v>
      </c>
    </row>
    <row r="141" spans="1:11">
      <c r="A141" s="138">
        <f t="shared" si="10"/>
        <v>0.93037999999999998</v>
      </c>
      <c r="B141" s="138">
        <v>930.38</v>
      </c>
      <c r="C141" s="138">
        <v>82.8</v>
      </c>
      <c r="D141" s="138">
        <v>17.2</v>
      </c>
      <c r="E141" s="138">
        <v>85.117000000000004</v>
      </c>
      <c r="F141" s="138">
        <v>14.882999999999999</v>
      </c>
      <c r="G141" s="138">
        <f t="shared" si="11"/>
        <v>82.8</v>
      </c>
      <c r="H141" s="138">
        <v>1</v>
      </c>
      <c r="I141" s="138">
        <v>1</v>
      </c>
      <c r="J141" s="145">
        <f t="shared" si="12"/>
        <v>0.84536901399999997</v>
      </c>
      <c r="K141" s="149">
        <f t="shared" si="13"/>
        <v>70</v>
      </c>
    </row>
    <row r="142" spans="1:11">
      <c r="A142" s="138">
        <f t="shared" si="10"/>
        <v>0.93354399999999993</v>
      </c>
      <c r="B142" s="138">
        <v>933.54399999999998</v>
      </c>
      <c r="C142" s="138">
        <v>82.820999999999998</v>
      </c>
      <c r="D142" s="138">
        <v>17.178999999999998</v>
      </c>
      <c r="E142" s="138">
        <v>85.138000000000005</v>
      </c>
      <c r="F142" s="138">
        <v>14.862</v>
      </c>
      <c r="G142" s="138">
        <f t="shared" si="11"/>
        <v>82.820999999999998</v>
      </c>
      <c r="H142" s="138">
        <v>1</v>
      </c>
      <c r="I142" s="138">
        <v>1</v>
      </c>
      <c r="J142" s="145">
        <f t="shared" si="12"/>
        <v>0.8457021831999999</v>
      </c>
      <c r="K142" s="149">
        <f t="shared" si="13"/>
        <v>70</v>
      </c>
    </row>
    <row r="143" spans="1:11">
      <c r="A143" s="138">
        <f t="shared" si="10"/>
        <v>0.9367089999999999</v>
      </c>
      <c r="B143" s="138">
        <v>936.70899999999995</v>
      </c>
      <c r="C143" s="138">
        <v>82.846000000000004</v>
      </c>
      <c r="D143" s="138">
        <v>17.154</v>
      </c>
      <c r="E143" s="138">
        <v>85.162000000000006</v>
      </c>
      <c r="F143" s="138">
        <v>14.837999999999999</v>
      </c>
      <c r="G143" s="138">
        <f t="shared" si="11"/>
        <v>82.846000000000004</v>
      </c>
      <c r="H143" s="138">
        <v>1</v>
      </c>
      <c r="I143" s="138">
        <v>1</v>
      </c>
      <c r="J143" s="145">
        <f t="shared" si="12"/>
        <v>0.84603545769999999</v>
      </c>
      <c r="K143" s="149">
        <f t="shared" si="13"/>
        <v>70</v>
      </c>
    </row>
    <row r="144" spans="1:11">
      <c r="A144" s="138">
        <f t="shared" si="10"/>
        <v>0.93987300000000007</v>
      </c>
      <c r="B144" s="138">
        <v>939.87300000000005</v>
      </c>
      <c r="C144" s="138">
        <v>82.873000000000005</v>
      </c>
      <c r="D144" s="138">
        <v>17.126999999999999</v>
      </c>
      <c r="E144" s="138">
        <v>85.188999999999993</v>
      </c>
      <c r="F144" s="138">
        <v>14.811</v>
      </c>
      <c r="G144" s="138">
        <f t="shared" si="11"/>
        <v>82.873000000000005</v>
      </c>
      <c r="H144" s="138">
        <v>1</v>
      </c>
      <c r="I144" s="138">
        <v>1</v>
      </c>
      <c r="J144" s="145">
        <f t="shared" si="12"/>
        <v>0.84636862689999992</v>
      </c>
      <c r="K144" s="149">
        <f t="shared" si="13"/>
        <v>70</v>
      </c>
    </row>
    <row r="145" spans="1:11">
      <c r="A145" s="138">
        <f t="shared" si="10"/>
        <v>0.94303800000000004</v>
      </c>
      <c r="B145" s="138">
        <v>943.03800000000001</v>
      </c>
      <c r="C145" s="138">
        <v>82.903999999999996</v>
      </c>
      <c r="D145" s="138">
        <v>17.096</v>
      </c>
      <c r="E145" s="138">
        <v>85.218000000000004</v>
      </c>
      <c r="F145" s="138">
        <v>14.782</v>
      </c>
      <c r="G145" s="138">
        <f t="shared" si="11"/>
        <v>82.903999999999996</v>
      </c>
      <c r="H145" s="138">
        <v>1</v>
      </c>
      <c r="I145" s="138">
        <v>1</v>
      </c>
      <c r="J145" s="145">
        <f t="shared" si="12"/>
        <v>0.8467019013999999</v>
      </c>
      <c r="K145" s="149">
        <f t="shared" si="13"/>
        <v>70</v>
      </c>
    </row>
    <row r="146" spans="1:11">
      <c r="A146" s="138">
        <f t="shared" si="10"/>
        <v>0.94620300000000002</v>
      </c>
      <c r="B146" s="138">
        <v>946.20299999999997</v>
      </c>
      <c r="C146" s="138">
        <v>82.938000000000002</v>
      </c>
      <c r="D146" s="138">
        <v>17.062000000000001</v>
      </c>
      <c r="E146" s="138">
        <v>85.25</v>
      </c>
      <c r="F146" s="138">
        <v>14.75</v>
      </c>
      <c r="G146" s="138">
        <f t="shared" si="11"/>
        <v>82.938000000000002</v>
      </c>
      <c r="H146" s="138">
        <v>1</v>
      </c>
      <c r="I146" s="138">
        <v>1</v>
      </c>
      <c r="J146" s="145">
        <f t="shared" si="12"/>
        <v>0.84703517589999999</v>
      </c>
      <c r="K146" s="149">
        <f t="shared" si="13"/>
        <v>70</v>
      </c>
    </row>
    <row r="147" spans="1:11">
      <c r="A147" s="138">
        <f t="shared" si="10"/>
        <v>0.94936699999999996</v>
      </c>
      <c r="B147" s="138">
        <v>949.36699999999996</v>
      </c>
      <c r="C147" s="138">
        <v>82.974000000000004</v>
      </c>
      <c r="D147" s="138">
        <v>17.026</v>
      </c>
      <c r="E147" s="138">
        <v>85.284000000000006</v>
      </c>
      <c r="F147" s="138">
        <v>14.715999999999999</v>
      </c>
      <c r="G147" s="138">
        <f t="shared" si="11"/>
        <v>82.974000000000004</v>
      </c>
      <c r="H147" s="138">
        <v>1</v>
      </c>
      <c r="I147" s="138">
        <v>1</v>
      </c>
      <c r="J147" s="145">
        <f t="shared" si="12"/>
        <v>0.84736834509999992</v>
      </c>
      <c r="K147" s="149">
        <f t="shared" si="13"/>
        <v>70</v>
      </c>
    </row>
    <row r="148" spans="1:11">
      <c r="A148" s="138">
        <f t="shared" si="10"/>
        <v>0.95253200000000005</v>
      </c>
      <c r="B148" s="138">
        <v>952.53200000000004</v>
      </c>
      <c r="C148" s="138">
        <v>83.013999999999996</v>
      </c>
      <c r="D148" s="138">
        <v>16.986000000000001</v>
      </c>
      <c r="E148" s="138">
        <v>85.320999999999998</v>
      </c>
      <c r="F148" s="138">
        <v>14.679</v>
      </c>
      <c r="G148" s="138">
        <f t="shared" si="11"/>
        <v>83.013999999999996</v>
      </c>
      <c r="H148" s="138">
        <v>1</v>
      </c>
      <c r="I148" s="138">
        <v>1</v>
      </c>
      <c r="J148" s="145">
        <f t="shared" si="12"/>
        <v>0.84770161960000001</v>
      </c>
      <c r="K148" s="149">
        <f t="shared" si="13"/>
        <v>70</v>
      </c>
    </row>
    <row r="149" spans="1:11">
      <c r="A149" s="138">
        <f t="shared" si="10"/>
        <v>0.95569599999999999</v>
      </c>
      <c r="B149" s="138">
        <v>955.69600000000003</v>
      </c>
      <c r="C149" s="138">
        <v>83.055999999999997</v>
      </c>
      <c r="D149" s="138">
        <v>16.943999999999999</v>
      </c>
      <c r="E149" s="138">
        <v>85.36</v>
      </c>
      <c r="F149" s="138">
        <v>14.64</v>
      </c>
      <c r="G149" s="138">
        <f t="shared" si="11"/>
        <v>83.055999999999997</v>
      </c>
      <c r="H149" s="138">
        <v>1</v>
      </c>
      <c r="I149" s="138">
        <v>1</v>
      </c>
      <c r="J149" s="145">
        <f t="shared" si="12"/>
        <v>0.84803478879999994</v>
      </c>
      <c r="K149" s="149">
        <f t="shared" si="13"/>
        <v>70</v>
      </c>
    </row>
    <row r="150" spans="1:11">
      <c r="A150" s="138">
        <f t="shared" si="10"/>
        <v>0.95886099999999996</v>
      </c>
      <c r="B150" s="138">
        <v>958.86099999999999</v>
      </c>
      <c r="C150" s="138">
        <v>83.100999999999999</v>
      </c>
      <c r="D150" s="138">
        <v>16.899000000000001</v>
      </c>
      <c r="E150" s="138">
        <v>85.400999999999996</v>
      </c>
      <c r="F150" s="138">
        <v>14.599</v>
      </c>
      <c r="G150" s="138">
        <f t="shared" si="11"/>
        <v>83.100999999999999</v>
      </c>
      <c r="H150" s="138">
        <v>1</v>
      </c>
      <c r="I150" s="138">
        <v>1</v>
      </c>
      <c r="J150" s="145">
        <f t="shared" si="12"/>
        <v>0.84836806329999992</v>
      </c>
      <c r="K150" s="149">
        <f t="shared" si="13"/>
        <v>70</v>
      </c>
    </row>
    <row r="151" spans="1:11">
      <c r="A151" s="138">
        <f t="shared" si="10"/>
        <v>0.96202500000000002</v>
      </c>
      <c r="B151" s="138">
        <v>962.02499999999998</v>
      </c>
      <c r="C151" s="138">
        <v>83.147999999999996</v>
      </c>
      <c r="D151" s="138">
        <v>16.852</v>
      </c>
      <c r="E151" s="138">
        <v>85.444000000000003</v>
      </c>
      <c r="F151" s="138">
        <v>14.555999999999999</v>
      </c>
      <c r="G151" s="138">
        <f t="shared" si="11"/>
        <v>83.147999999999996</v>
      </c>
      <c r="H151" s="138">
        <v>1</v>
      </c>
      <c r="I151" s="138">
        <v>1</v>
      </c>
      <c r="J151" s="145">
        <f t="shared" si="12"/>
        <v>0.84870123249999996</v>
      </c>
      <c r="K151" s="149">
        <f t="shared" si="13"/>
        <v>70</v>
      </c>
    </row>
    <row r="152" spans="1:11">
      <c r="A152" s="138">
        <f t="shared" si="10"/>
        <v>0.9651900000000001</v>
      </c>
      <c r="B152" s="138">
        <v>965.19</v>
      </c>
      <c r="C152" s="138">
        <v>83.197999999999993</v>
      </c>
      <c r="D152" s="138">
        <v>16.802</v>
      </c>
      <c r="E152" s="138">
        <v>85.49</v>
      </c>
      <c r="F152" s="138">
        <v>14.51</v>
      </c>
      <c r="G152" s="138">
        <f t="shared" si="11"/>
        <v>83.197999999999993</v>
      </c>
      <c r="H152" s="138">
        <v>1</v>
      </c>
      <c r="I152" s="138">
        <v>1</v>
      </c>
      <c r="J152" s="145">
        <f t="shared" si="12"/>
        <v>0.84903450699999994</v>
      </c>
      <c r="K152" s="149">
        <f t="shared" si="13"/>
        <v>70</v>
      </c>
    </row>
    <row r="153" spans="1:11">
      <c r="A153" s="138">
        <f t="shared" si="10"/>
        <v>0.96835400000000005</v>
      </c>
      <c r="B153" s="138">
        <v>968.35400000000004</v>
      </c>
      <c r="C153" s="138">
        <v>83.251000000000005</v>
      </c>
      <c r="D153" s="138">
        <v>16.748999999999999</v>
      </c>
      <c r="E153" s="138">
        <v>85.537999999999997</v>
      </c>
      <c r="F153" s="138">
        <v>14.462</v>
      </c>
      <c r="G153" s="138">
        <f t="shared" si="11"/>
        <v>83.251000000000005</v>
      </c>
      <c r="H153" s="138">
        <v>1</v>
      </c>
      <c r="I153" s="138">
        <v>1</v>
      </c>
      <c r="J153" s="145">
        <f t="shared" si="12"/>
        <v>0.84936767619999998</v>
      </c>
      <c r="K153" s="149">
        <f t="shared" si="13"/>
        <v>70</v>
      </c>
    </row>
    <row r="154" spans="1:11">
      <c r="A154" s="138">
        <f t="shared" si="10"/>
        <v>0.97151900000000002</v>
      </c>
      <c r="B154" s="138">
        <v>971.51900000000001</v>
      </c>
      <c r="C154" s="138">
        <v>83.305999999999997</v>
      </c>
      <c r="D154" s="138">
        <v>16.693999999999999</v>
      </c>
      <c r="E154" s="138">
        <v>85.587999999999994</v>
      </c>
      <c r="F154" s="138">
        <v>14.412000000000001</v>
      </c>
      <c r="G154" s="138">
        <f t="shared" si="11"/>
        <v>83.305999999999997</v>
      </c>
      <c r="H154" s="138">
        <v>1</v>
      </c>
      <c r="I154" s="138">
        <v>1</v>
      </c>
      <c r="J154" s="145">
        <f t="shared" si="12"/>
        <v>0.84970095069999996</v>
      </c>
      <c r="K154" s="149">
        <f t="shared" si="13"/>
        <v>70</v>
      </c>
    </row>
    <row r="155" spans="1:11">
      <c r="A155" s="138">
        <f t="shared" si="10"/>
        <v>0.97468399999999999</v>
      </c>
      <c r="B155" s="138">
        <v>974.68399999999997</v>
      </c>
      <c r="C155" s="138">
        <v>83.364000000000004</v>
      </c>
      <c r="D155" s="138">
        <v>16.635999999999999</v>
      </c>
      <c r="E155" s="138">
        <v>85.64</v>
      </c>
      <c r="F155" s="138">
        <v>14.36</v>
      </c>
      <c r="G155" s="138">
        <f t="shared" si="11"/>
        <v>83.364000000000004</v>
      </c>
      <c r="H155" s="138">
        <v>1</v>
      </c>
      <c r="I155" s="138">
        <v>1</v>
      </c>
      <c r="J155" s="145">
        <f t="shared" si="12"/>
        <v>0.85003422519999994</v>
      </c>
      <c r="K155" s="149">
        <f t="shared" si="13"/>
        <v>70</v>
      </c>
    </row>
    <row r="156" spans="1:11">
      <c r="A156" s="138">
        <f t="shared" si="10"/>
        <v>0.97784799999999994</v>
      </c>
      <c r="B156" s="138">
        <v>977.84799999999996</v>
      </c>
      <c r="C156" s="138">
        <v>83.424000000000007</v>
      </c>
      <c r="D156" s="138">
        <v>16.576000000000001</v>
      </c>
      <c r="E156" s="138">
        <v>85.694000000000003</v>
      </c>
      <c r="F156" s="138">
        <v>14.305999999999999</v>
      </c>
      <c r="G156" s="138">
        <f t="shared" si="11"/>
        <v>83.424000000000007</v>
      </c>
      <c r="H156" s="138">
        <v>1</v>
      </c>
      <c r="I156" s="138">
        <v>1</v>
      </c>
      <c r="J156" s="145">
        <f t="shared" si="12"/>
        <v>0.85036739439999998</v>
      </c>
      <c r="K156" s="149">
        <f t="shared" si="13"/>
        <v>70</v>
      </c>
    </row>
    <row r="157" spans="1:11">
      <c r="A157" s="138">
        <f t="shared" si="10"/>
        <v>0.98101300000000002</v>
      </c>
      <c r="B157" s="138">
        <v>981.01300000000003</v>
      </c>
      <c r="C157" s="138">
        <v>83.486000000000004</v>
      </c>
      <c r="D157" s="138">
        <v>16.513999999999999</v>
      </c>
      <c r="E157" s="138">
        <v>85.748999999999995</v>
      </c>
      <c r="F157" s="138">
        <v>14.250999999999999</v>
      </c>
      <c r="G157" s="138">
        <f t="shared" si="11"/>
        <v>83.486000000000004</v>
      </c>
      <c r="H157" s="138">
        <v>1</v>
      </c>
      <c r="I157" s="138">
        <v>1</v>
      </c>
      <c r="J157" s="145">
        <f t="shared" si="12"/>
        <v>0.85070066889999996</v>
      </c>
      <c r="K157" s="149">
        <f t="shared" si="13"/>
        <v>70</v>
      </c>
    </row>
    <row r="158" spans="1:11">
      <c r="A158" s="138">
        <f t="shared" si="10"/>
        <v>0.98417699999999997</v>
      </c>
      <c r="B158" s="138">
        <v>984.17700000000002</v>
      </c>
      <c r="C158" s="138">
        <v>83.55</v>
      </c>
      <c r="D158" s="138">
        <v>16.45</v>
      </c>
      <c r="E158" s="138">
        <v>85.807000000000002</v>
      </c>
      <c r="F158" s="138">
        <v>14.193</v>
      </c>
      <c r="G158" s="138">
        <f t="shared" si="11"/>
        <v>83.55</v>
      </c>
      <c r="H158" s="138">
        <v>1</v>
      </c>
      <c r="I158" s="138">
        <v>1</v>
      </c>
      <c r="J158" s="145">
        <f t="shared" si="12"/>
        <v>0.8510338381</v>
      </c>
      <c r="K158" s="149">
        <f t="shared" si="13"/>
        <v>70</v>
      </c>
    </row>
    <row r="159" spans="1:11">
      <c r="A159" s="138">
        <f t="shared" si="10"/>
        <v>0.98734199999999994</v>
      </c>
      <c r="B159" s="138">
        <v>987.34199999999998</v>
      </c>
      <c r="C159" s="138">
        <v>83.617000000000004</v>
      </c>
      <c r="D159" s="138">
        <v>16.382999999999999</v>
      </c>
      <c r="E159" s="138">
        <v>85.867000000000004</v>
      </c>
      <c r="F159" s="138">
        <v>14.132999999999999</v>
      </c>
      <c r="G159" s="138">
        <f t="shared" si="11"/>
        <v>83.617000000000004</v>
      </c>
      <c r="H159" s="138">
        <v>1</v>
      </c>
      <c r="I159" s="138">
        <v>1</v>
      </c>
      <c r="J159" s="145">
        <f t="shared" si="12"/>
        <v>0.85136711259999998</v>
      </c>
      <c r="K159" s="149">
        <f t="shared" si="13"/>
        <v>70</v>
      </c>
    </row>
    <row r="160" spans="1:11">
      <c r="A160" s="138">
        <f t="shared" si="10"/>
        <v>0.990506</v>
      </c>
      <c r="B160" s="138">
        <v>990.50599999999997</v>
      </c>
      <c r="C160" s="138">
        <v>83.685000000000002</v>
      </c>
      <c r="D160" s="138">
        <v>16.315000000000001</v>
      </c>
      <c r="E160" s="138">
        <v>85.927999999999997</v>
      </c>
      <c r="F160" s="138">
        <v>14.071999999999999</v>
      </c>
      <c r="G160" s="138">
        <f t="shared" si="11"/>
        <v>83.685000000000002</v>
      </c>
      <c r="H160" s="138">
        <v>1</v>
      </c>
      <c r="I160" s="138">
        <v>1</v>
      </c>
      <c r="J160" s="145">
        <f t="shared" si="12"/>
        <v>0.8517002817999999</v>
      </c>
      <c r="K160" s="149">
        <f t="shared" si="13"/>
        <v>70</v>
      </c>
    </row>
    <row r="161" spans="1:11">
      <c r="A161" s="138">
        <f t="shared" si="10"/>
        <v>0.99367100000000008</v>
      </c>
      <c r="B161" s="138">
        <v>993.67100000000005</v>
      </c>
      <c r="C161" s="138">
        <v>83.756</v>
      </c>
      <c r="D161" s="138">
        <v>16.244</v>
      </c>
      <c r="E161" s="138">
        <v>85.991</v>
      </c>
      <c r="F161" s="138">
        <v>14.009</v>
      </c>
      <c r="G161" s="138">
        <f t="shared" si="11"/>
        <v>83.756</v>
      </c>
      <c r="H161" s="138">
        <v>1</v>
      </c>
      <c r="I161" s="138">
        <v>1</v>
      </c>
      <c r="J161" s="145">
        <f t="shared" si="12"/>
        <v>0.85203355629999999</v>
      </c>
      <c r="K161" s="149">
        <f t="shared" si="13"/>
        <v>70</v>
      </c>
    </row>
    <row r="162" spans="1:11">
      <c r="A162" s="138">
        <f t="shared" si="10"/>
        <v>0.99683500000000003</v>
      </c>
      <c r="B162" s="138">
        <v>996.83500000000004</v>
      </c>
      <c r="C162" s="138">
        <v>83.828999999999994</v>
      </c>
      <c r="D162" s="138">
        <v>16.170999999999999</v>
      </c>
      <c r="E162" s="138">
        <v>86.055999999999997</v>
      </c>
      <c r="F162" s="138">
        <v>13.944000000000001</v>
      </c>
      <c r="G162" s="138">
        <f t="shared" si="11"/>
        <v>83.828999999999994</v>
      </c>
      <c r="H162" s="138">
        <v>1</v>
      </c>
      <c r="I162" s="138">
        <v>1</v>
      </c>
      <c r="J162" s="145">
        <f t="shared" si="12"/>
        <v>0.85236672549999992</v>
      </c>
      <c r="K162" s="149">
        <f t="shared" si="13"/>
        <v>70</v>
      </c>
    </row>
    <row r="163" spans="1:11">
      <c r="A163" s="138">
        <f t="shared" si="10"/>
        <v>1</v>
      </c>
      <c r="B163" s="138">
        <v>1000</v>
      </c>
      <c r="C163" s="138">
        <v>83.903999999999996</v>
      </c>
      <c r="D163" s="138">
        <v>16.096</v>
      </c>
      <c r="E163" s="138">
        <v>86.122</v>
      </c>
      <c r="F163" s="138">
        <v>13.878</v>
      </c>
      <c r="G163" s="138">
        <f t="shared" si="11"/>
        <v>83.903999999999996</v>
      </c>
      <c r="H163" s="138">
        <v>1</v>
      </c>
      <c r="I163" s="138">
        <v>1</v>
      </c>
      <c r="J163" s="145">
        <f t="shared" si="12"/>
        <v>0.85270000000000001</v>
      </c>
      <c r="K163" s="149">
        <f t="shared" si="13"/>
        <v>70</v>
      </c>
    </row>
    <row r="164" spans="1:11">
      <c r="A164" s="138">
        <f t="shared" si="10"/>
        <v>1.0031649999999999</v>
      </c>
      <c r="B164" s="138">
        <v>1003.165</v>
      </c>
      <c r="C164" s="138">
        <v>83.98</v>
      </c>
      <c r="D164" s="138">
        <v>16.02</v>
      </c>
      <c r="E164" s="138">
        <v>86.19</v>
      </c>
      <c r="F164" s="138">
        <v>13.81</v>
      </c>
      <c r="G164" s="138">
        <f t="shared" si="11"/>
        <v>83.98</v>
      </c>
      <c r="H164" s="138">
        <v>1</v>
      </c>
      <c r="I164" s="138">
        <v>1</v>
      </c>
      <c r="J164" s="145">
        <f t="shared" si="12"/>
        <v>0.85303327449999999</v>
      </c>
      <c r="K164" s="149">
        <f t="shared" si="13"/>
        <v>70.083195556192535</v>
      </c>
    </row>
    <row r="165" spans="1:11">
      <c r="A165" s="138">
        <f t="shared" si="10"/>
        <v>1.006329</v>
      </c>
      <c r="B165" s="138">
        <v>1006.329</v>
      </c>
      <c r="C165" s="138">
        <v>84.058999999999997</v>
      </c>
      <c r="D165" s="138">
        <v>15.941000000000001</v>
      </c>
      <c r="E165" s="138">
        <v>86.259</v>
      </c>
      <c r="F165" s="138">
        <v>13.741</v>
      </c>
      <c r="G165" s="138">
        <f t="shared" si="11"/>
        <v>84.058999999999997</v>
      </c>
      <c r="H165" s="138">
        <v>1</v>
      </c>
      <c r="I165" s="138">
        <v>1</v>
      </c>
      <c r="J165" s="145">
        <f t="shared" si="12"/>
        <v>0.85336644369999992</v>
      </c>
      <c r="K165" s="149">
        <f t="shared" si="13"/>
        <v>70.176520972344065</v>
      </c>
    </row>
    <row r="166" spans="1:11">
      <c r="A166" s="138">
        <f t="shared" si="10"/>
        <v>1.0094940000000001</v>
      </c>
      <c r="B166" s="138">
        <v>1009.494</v>
      </c>
      <c r="C166" s="138">
        <v>84.138999999999996</v>
      </c>
      <c r="D166" s="138">
        <v>15.861000000000001</v>
      </c>
      <c r="E166" s="138">
        <v>86.33</v>
      </c>
      <c r="F166" s="138">
        <v>13.67</v>
      </c>
      <c r="G166" s="138">
        <f t="shared" si="11"/>
        <v>84.138999999999996</v>
      </c>
      <c r="H166" s="138">
        <v>1</v>
      </c>
      <c r="I166" s="138">
        <v>1</v>
      </c>
      <c r="J166" s="145">
        <f t="shared" si="12"/>
        <v>0.85369971820000001</v>
      </c>
      <c r="K166" s="149">
        <f t="shared" si="13"/>
        <v>70.270741728834821</v>
      </c>
    </row>
    <row r="167" spans="1:11">
      <c r="A167" s="138">
        <f t="shared" si="10"/>
        <v>1.0126580000000001</v>
      </c>
      <c r="B167" s="138">
        <v>1012.658</v>
      </c>
      <c r="C167" s="138">
        <v>84.221000000000004</v>
      </c>
      <c r="D167" s="138">
        <v>15.779</v>
      </c>
      <c r="E167" s="138">
        <v>86.402000000000001</v>
      </c>
      <c r="F167" s="138">
        <v>13.598000000000001</v>
      </c>
      <c r="G167" s="138">
        <f t="shared" si="11"/>
        <v>84.221000000000004</v>
      </c>
      <c r="H167" s="138">
        <v>1</v>
      </c>
      <c r="I167" s="138">
        <v>1</v>
      </c>
      <c r="J167" s="145">
        <f t="shared" si="12"/>
        <v>0.85403288739999994</v>
      </c>
      <c r="K167" s="149">
        <f t="shared" si="13"/>
        <v>70.366676977044577</v>
      </c>
    </row>
    <row r="168" spans="1:11">
      <c r="A168" s="138">
        <f t="shared" si="10"/>
        <v>1.0158229999999999</v>
      </c>
      <c r="B168" s="138">
        <v>1015.823</v>
      </c>
      <c r="C168" s="138">
        <v>84.304000000000002</v>
      </c>
      <c r="D168" s="138">
        <v>15.696</v>
      </c>
      <c r="E168" s="138">
        <v>86.475999999999999</v>
      </c>
      <c r="F168" s="138">
        <v>13.523999999999999</v>
      </c>
      <c r="G168" s="138">
        <f t="shared" si="11"/>
        <v>84.304000000000002</v>
      </c>
      <c r="H168" s="138">
        <v>1</v>
      </c>
      <c r="I168" s="138">
        <v>1</v>
      </c>
      <c r="J168" s="145">
        <f t="shared" si="12"/>
        <v>0.85436616189999992</v>
      </c>
      <c r="K168" s="149">
        <f t="shared" si="13"/>
        <v>70.463510190209448</v>
      </c>
    </row>
    <row r="169" spans="1:11">
      <c r="A169" s="138">
        <f t="shared" si="10"/>
        <v>1.0189869999999999</v>
      </c>
      <c r="B169" s="138">
        <v>1018.987</v>
      </c>
      <c r="C169" s="138">
        <v>84.39</v>
      </c>
      <c r="D169" s="138">
        <v>15.61</v>
      </c>
      <c r="E169" s="138">
        <v>86.551000000000002</v>
      </c>
      <c r="F169" s="138">
        <v>13.449</v>
      </c>
      <c r="G169" s="138">
        <f t="shared" si="11"/>
        <v>84.39</v>
      </c>
      <c r="H169" s="138">
        <v>1</v>
      </c>
      <c r="I169" s="138">
        <v>1</v>
      </c>
      <c r="J169" s="145">
        <f t="shared" si="12"/>
        <v>0.85469933109999996</v>
      </c>
      <c r="K169" s="149">
        <f t="shared" si="13"/>
        <v>70.562897290360809</v>
      </c>
    </row>
    <row r="170" spans="1:11">
      <c r="A170" s="138">
        <f t="shared" si="10"/>
        <v>1.0221519999999999</v>
      </c>
      <c r="B170" s="138">
        <v>1022.152</v>
      </c>
      <c r="C170" s="138">
        <v>84.477000000000004</v>
      </c>
      <c r="D170" s="138">
        <v>15.523</v>
      </c>
      <c r="E170" s="138">
        <v>86.628</v>
      </c>
      <c r="F170" s="138">
        <v>13.372</v>
      </c>
      <c r="G170" s="138">
        <f t="shared" si="11"/>
        <v>84.477000000000004</v>
      </c>
      <c r="H170" s="138">
        <v>1</v>
      </c>
      <c r="I170" s="138">
        <v>1</v>
      </c>
      <c r="J170" s="145">
        <f t="shared" si="12"/>
        <v>0.85503260559999994</v>
      </c>
      <c r="K170" s="149">
        <f t="shared" si="13"/>
        <v>70.66318563278621</v>
      </c>
    </row>
    <row r="171" spans="1:11">
      <c r="A171" s="138">
        <f t="shared" si="10"/>
        <v>1.0253160000000001</v>
      </c>
      <c r="B171" s="138">
        <v>1025.316</v>
      </c>
      <c r="C171" s="138">
        <v>84.564999999999998</v>
      </c>
      <c r="D171" s="138">
        <v>15.435</v>
      </c>
      <c r="E171" s="138">
        <v>86.704999999999998</v>
      </c>
      <c r="F171" s="138">
        <v>13.295</v>
      </c>
      <c r="G171" s="138">
        <f t="shared" si="11"/>
        <v>84.564999999999998</v>
      </c>
      <c r="H171" s="138">
        <v>1</v>
      </c>
      <c r="I171" s="138">
        <v>1</v>
      </c>
      <c r="J171" s="145">
        <f t="shared" si="12"/>
        <v>0.85536577479999998</v>
      </c>
      <c r="K171" s="149">
        <f t="shared" si="13"/>
        <v>70.764358799574623</v>
      </c>
    </row>
    <row r="172" spans="1:11">
      <c r="A172" s="138">
        <f t="shared" si="10"/>
        <v>1.028481</v>
      </c>
      <c r="B172" s="138">
        <v>1028.481</v>
      </c>
      <c r="C172" s="138">
        <v>84.655000000000001</v>
      </c>
      <c r="D172" s="138">
        <v>15.345000000000001</v>
      </c>
      <c r="E172" s="138">
        <v>86.784000000000006</v>
      </c>
      <c r="F172" s="138">
        <v>13.215999999999999</v>
      </c>
      <c r="G172" s="138">
        <f t="shared" si="11"/>
        <v>84.655000000000001</v>
      </c>
      <c r="H172" s="138">
        <v>1</v>
      </c>
      <c r="I172" s="138">
        <v>1</v>
      </c>
      <c r="J172" s="145">
        <f t="shared" si="12"/>
        <v>0.85569904929999996</v>
      </c>
      <c r="K172" s="149">
        <f t="shared" si="13"/>
        <v>70.867272312990224</v>
      </c>
    </row>
    <row r="173" spans="1:11">
      <c r="A173" s="138">
        <f t="shared" si="10"/>
        <v>1.0316460000000001</v>
      </c>
      <c r="B173" s="138">
        <v>1031.646</v>
      </c>
      <c r="C173" s="138">
        <v>84.745999999999995</v>
      </c>
      <c r="D173" s="138">
        <v>15.254</v>
      </c>
      <c r="E173" s="138">
        <v>86.864000000000004</v>
      </c>
      <c r="F173" s="138">
        <v>13.135999999999999</v>
      </c>
      <c r="G173" s="138">
        <f t="shared" si="11"/>
        <v>84.745999999999995</v>
      </c>
      <c r="H173" s="138">
        <v>1</v>
      </c>
      <c r="I173" s="138">
        <v>1</v>
      </c>
      <c r="J173" s="145">
        <f t="shared" si="12"/>
        <v>0.85603232379999994</v>
      </c>
      <c r="K173" s="149">
        <f t="shared" si="13"/>
        <v>70.971081970468006</v>
      </c>
    </row>
    <row r="174" spans="1:11">
      <c r="A174" s="138">
        <f t="shared" si="10"/>
        <v>1.03481</v>
      </c>
      <c r="B174" s="138">
        <v>1034.81</v>
      </c>
      <c r="C174" s="138">
        <v>84.838999999999999</v>
      </c>
      <c r="D174" s="138">
        <v>15.161</v>
      </c>
      <c r="E174" s="138">
        <v>86.945999999999998</v>
      </c>
      <c r="F174" s="138">
        <v>13.054</v>
      </c>
      <c r="G174" s="138">
        <f t="shared" si="11"/>
        <v>84.838999999999999</v>
      </c>
      <c r="H174" s="138">
        <v>1</v>
      </c>
      <c r="I174" s="138">
        <v>1</v>
      </c>
      <c r="J174" s="145">
        <f t="shared" si="12"/>
        <v>0.85636549299999998</v>
      </c>
      <c r="K174" s="149">
        <f t="shared" si="13"/>
        <v>71.076617792911378</v>
      </c>
    </row>
    <row r="175" spans="1:11">
      <c r="A175" s="138">
        <f t="shared" si="10"/>
        <v>1.0379749999999999</v>
      </c>
      <c r="B175" s="138">
        <v>1037.9749999999999</v>
      </c>
      <c r="C175" s="138">
        <v>84.933000000000007</v>
      </c>
      <c r="D175" s="138">
        <v>15.067</v>
      </c>
      <c r="E175" s="138">
        <v>87.028000000000006</v>
      </c>
      <c r="F175" s="138">
        <v>12.972</v>
      </c>
      <c r="G175" s="138">
        <f t="shared" si="11"/>
        <v>84.933000000000007</v>
      </c>
      <c r="H175" s="138">
        <v>1</v>
      </c>
      <c r="I175" s="138">
        <v>1</v>
      </c>
      <c r="J175" s="145">
        <f t="shared" si="12"/>
        <v>0.85669876749999996</v>
      </c>
      <c r="K175" s="149">
        <f t="shared" si="13"/>
        <v>71.183061097761822</v>
      </c>
    </row>
    <row r="176" spans="1:11">
      <c r="A176" s="138">
        <f t="shared" si="10"/>
        <v>1.0411389999999998</v>
      </c>
      <c r="B176" s="138">
        <v>1041.1389999999999</v>
      </c>
      <c r="C176" s="138">
        <v>85.028000000000006</v>
      </c>
      <c r="D176" s="138">
        <v>14.972</v>
      </c>
      <c r="E176" s="138">
        <v>87.111000000000004</v>
      </c>
      <c r="F176" s="138">
        <v>12.888999999999999</v>
      </c>
      <c r="G176" s="138">
        <f t="shared" si="11"/>
        <v>85.028000000000006</v>
      </c>
      <c r="H176" s="138">
        <v>1</v>
      </c>
      <c r="I176" s="138">
        <v>1</v>
      </c>
      <c r="J176" s="145">
        <f t="shared" si="12"/>
        <v>0.85703193669999989</v>
      </c>
      <c r="K176" s="149">
        <f t="shared" si="13"/>
        <v>71.290395373879704</v>
      </c>
    </row>
    <row r="177" spans="1:11">
      <c r="A177" s="138">
        <f t="shared" si="10"/>
        <v>1.0443040000000001</v>
      </c>
      <c r="B177" s="138">
        <v>1044.3040000000001</v>
      </c>
      <c r="C177" s="138">
        <v>85.125</v>
      </c>
      <c r="D177" s="138">
        <v>14.875</v>
      </c>
      <c r="E177" s="138">
        <v>87.195999999999998</v>
      </c>
      <c r="F177" s="138">
        <v>12.804</v>
      </c>
      <c r="G177" s="138">
        <f t="shared" si="11"/>
        <v>85.125</v>
      </c>
      <c r="H177" s="138">
        <v>1</v>
      </c>
      <c r="I177" s="138">
        <v>1</v>
      </c>
      <c r="J177" s="145">
        <f t="shared" si="12"/>
        <v>0.85736521119999998</v>
      </c>
      <c r="K177" s="149">
        <f t="shared" si="13"/>
        <v>71.399477868206219</v>
      </c>
    </row>
    <row r="178" spans="1:11">
      <c r="A178" s="138">
        <f t="shared" si="10"/>
        <v>1.0474680000000001</v>
      </c>
      <c r="B178" s="138">
        <v>1047.4680000000001</v>
      </c>
      <c r="C178" s="138">
        <v>85.222999999999999</v>
      </c>
      <c r="D178" s="138">
        <v>14.776999999999999</v>
      </c>
      <c r="E178" s="138">
        <v>87.281000000000006</v>
      </c>
      <c r="F178" s="138">
        <v>12.718999999999999</v>
      </c>
      <c r="G178" s="138">
        <f t="shared" si="11"/>
        <v>85.222999999999999</v>
      </c>
      <c r="H178" s="138">
        <v>1</v>
      </c>
      <c r="I178" s="138">
        <v>1</v>
      </c>
      <c r="J178" s="145">
        <f t="shared" si="12"/>
        <v>0.85769838040000002</v>
      </c>
      <c r="K178" s="149">
        <f t="shared" si="13"/>
        <v>71.509453921948804</v>
      </c>
    </row>
    <row r="179" spans="1:11">
      <c r="A179" s="138">
        <f t="shared" si="10"/>
        <v>1.0506329999999999</v>
      </c>
      <c r="B179" s="138">
        <v>1050.633</v>
      </c>
      <c r="C179" s="138">
        <v>85.322000000000003</v>
      </c>
      <c r="D179" s="138">
        <v>14.678000000000001</v>
      </c>
      <c r="E179" s="138">
        <v>87.367999999999995</v>
      </c>
      <c r="F179" s="138">
        <v>12.632</v>
      </c>
      <c r="G179" s="138">
        <f t="shared" si="11"/>
        <v>85.322000000000003</v>
      </c>
      <c r="H179" s="138">
        <v>1</v>
      </c>
      <c r="I179" s="138">
        <v>1</v>
      </c>
      <c r="J179" s="145">
        <f t="shared" si="12"/>
        <v>0.8580316549</v>
      </c>
      <c r="K179" s="149">
        <f t="shared" si="13"/>
        <v>71.6203420615293</v>
      </c>
    </row>
    <row r="180" spans="1:11">
      <c r="A180" s="138">
        <f t="shared" si="10"/>
        <v>1.0537970000000001</v>
      </c>
      <c r="B180" s="138">
        <v>1053.797</v>
      </c>
      <c r="C180" s="138">
        <v>85.421999999999997</v>
      </c>
      <c r="D180" s="138">
        <v>14.577999999999999</v>
      </c>
      <c r="E180" s="138">
        <v>87.454999999999998</v>
      </c>
      <c r="F180" s="138">
        <v>12.545</v>
      </c>
      <c r="G180" s="138">
        <f t="shared" si="11"/>
        <v>85.421999999999997</v>
      </c>
      <c r="H180" s="138">
        <v>1</v>
      </c>
      <c r="I180" s="138">
        <v>1</v>
      </c>
      <c r="J180" s="145">
        <f t="shared" si="12"/>
        <v>0.85836482409999992</v>
      </c>
      <c r="K180" s="149">
        <f t="shared" si="13"/>
        <v>71.732125696177533</v>
      </c>
    </row>
    <row r="181" spans="1:11">
      <c r="A181" s="138">
        <f t="shared" si="10"/>
        <v>1.056962</v>
      </c>
      <c r="B181" s="138">
        <v>1056.962</v>
      </c>
      <c r="C181" s="138">
        <v>85.522999999999996</v>
      </c>
      <c r="D181" s="138">
        <v>14.477</v>
      </c>
      <c r="E181" s="138">
        <v>87.543000000000006</v>
      </c>
      <c r="F181" s="138">
        <v>12.457000000000001</v>
      </c>
      <c r="G181" s="138">
        <f t="shared" si="11"/>
        <v>85.522999999999996</v>
      </c>
      <c r="H181" s="138">
        <v>1</v>
      </c>
      <c r="I181" s="138">
        <v>1</v>
      </c>
      <c r="J181" s="145">
        <f t="shared" si="12"/>
        <v>0.8586980985999999</v>
      </c>
      <c r="K181" s="149">
        <f t="shared" si="13"/>
        <v>71.844823393109266</v>
      </c>
    </row>
    <row r="182" spans="1:11">
      <c r="A182" s="138">
        <f t="shared" si="10"/>
        <v>1.060127</v>
      </c>
      <c r="B182" s="138">
        <v>1060.127</v>
      </c>
      <c r="C182" s="138">
        <v>85.626000000000005</v>
      </c>
      <c r="D182" s="138">
        <v>14.374000000000001</v>
      </c>
      <c r="E182" s="138">
        <v>87.632000000000005</v>
      </c>
      <c r="F182" s="138">
        <v>12.368</v>
      </c>
      <c r="G182" s="138">
        <f t="shared" si="11"/>
        <v>85.626000000000005</v>
      </c>
      <c r="H182" s="138">
        <v>1</v>
      </c>
      <c r="I182" s="138">
        <v>1</v>
      </c>
      <c r="J182" s="145">
        <f t="shared" si="12"/>
        <v>0.8590313731</v>
      </c>
      <c r="K182" s="149">
        <f t="shared" si="13"/>
        <v>71.95926773139918</v>
      </c>
    </row>
    <row r="183" spans="1:11">
      <c r="A183" s="138">
        <f t="shared" si="10"/>
        <v>1.063291</v>
      </c>
      <c r="B183" s="138">
        <v>1063.2909999999999</v>
      </c>
      <c r="C183" s="138">
        <v>85.728999999999999</v>
      </c>
      <c r="D183" s="138">
        <v>14.271000000000001</v>
      </c>
      <c r="E183" s="138">
        <v>87.721999999999994</v>
      </c>
      <c r="F183" s="138">
        <v>12.278</v>
      </c>
      <c r="G183" s="138">
        <f t="shared" si="11"/>
        <v>85.728999999999999</v>
      </c>
      <c r="H183" s="138">
        <v>1</v>
      </c>
      <c r="I183" s="138">
        <v>1</v>
      </c>
      <c r="J183" s="145">
        <f t="shared" si="12"/>
        <v>0.85936454229999992</v>
      </c>
      <c r="K183" s="149">
        <f t="shared" si="13"/>
        <v>72.073770403060337</v>
      </c>
    </row>
    <row r="184" spans="1:11">
      <c r="A184" s="138">
        <f t="shared" si="10"/>
        <v>1.0664559999999998</v>
      </c>
      <c r="B184" s="138">
        <v>1066.4559999999999</v>
      </c>
      <c r="C184" s="138">
        <v>85.832999999999998</v>
      </c>
      <c r="D184" s="138">
        <v>14.167</v>
      </c>
      <c r="E184" s="138">
        <v>87.811999999999998</v>
      </c>
      <c r="F184" s="138">
        <v>12.188000000000001</v>
      </c>
      <c r="G184" s="138">
        <f t="shared" si="11"/>
        <v>85.832999999999998</v>
      </c>
      <c r="H184" s="138">
        <v>1</v>
      </c>
      <c r="I184" s="138">
        <v>1</v>
      </c>
      <c r="J184" s="145">
        <f t="shared" si="12"/>
        <v>0.8596978167999999</v>
      </c>
      <c r="K184" s="149">
        <f t="shared" si="13"/>
        <v>72.18919010260052</v>
      </c>
    </row>
    <row r="185" spans="1:11">
      <c r="A185" s="138">
        <f t="shared" si="10"/>
        <v>1.0696199999999998</v>
      </c>
      <c r="B185" s="138">
        <v>1069.6199999999999</v>
      </c>
      <c r="C185" s="138">
        <v>85.938000000000002</v>
      </c>
      <c r="D185" s="138">
        <v>14.061999999999999</v>
      </c>
      <c r="E185" s="138">
        <v>87.903000000000006</v>
      </c>
      <c r="F185" s="138">
        <v>12.097</v>
      </c>
      <c r="G185" s="138">
        <f t="shared" si="11"/>
        <v>85.938000000000002</v>
      </c>
      <c r="H185" s="138">
        <v>1</v>
      </c>
      <c r="I185" s="138">
        <v>1</v>
      </c>
      <c r="J185" s="145">
        <f t="shared" si="12"/>
        <v>0.86003098599999994</v>
      </c>
      <c r="K185" s="149">
        <f t="shared" si="13"/>
        <v>72.30551013448337</v>
      </c>
    </row>
    <row r="186" spans="1:11">
      <c r="A186" s="138">
        <f t="shared" si="10"/>
        <v>1.0727850000000001</v>
      </c>
      <c r="B186" s="138">
        <v>1072.7850000000001</v>
      </c>
      <c r="C186" s="138">
        <v>86.043999999999997</v>
      </c>
      <c r="D186" s="138">
        <v>13.956</v>
      </c>
      <c r="E186" s="138">
        <v>87.995000000000005</v>
      </c>
      <c r="F186" s="138">
        <v>12.005000000000001</v>
      </c>
      <c r="G186" s="138">
        <f t="shared" si="11"/>
        <v>86.043999999999997</v>
      </c>
      <c r="H186" s="138">
        <v>1</v>
      </c>
      <c r="I186" s="138">
        <v>1</v>
      </c>
      <c r="J186" s="145">
        <f t="shared" si="12"/>
        <v>0.86036426049999992</v>
      </c>
      <c r="K186" s="149">
        <f t="shared" si="13"/>
        <v>72.422749171720966</v>
      </c>
    </row>
    <row r="187" spans="1:11">
      <c r="A187" s="138">
        <f t="shared" si="10"/>
        <v>1.075949</v>
      </c>
      <c r="B187" s="138">
        <v>1075.9490000000001</v>
      </c>
      <c r="C187" s="138">
        <v>86.150999999999996</v>
      </c>
      <c r="D187" s="138">
        <v>13.849</v>
      </c>
      <c r="E187" s="138">
        <v>88.087999999999994</v>
      </c>
      <c r="F187" s="138">
        <v>11.912000000000001</v>
      </c>
      <c r="G187" s="138">
        <f t="shared" si="11"/>
        <v>86.150999999999996</v>
      </c>
      <c r="H187" s="138">
        <v>1</v>
      </c>
      <c r="I187" s="138">
        <v>1</v>
      </c>
      <c r="J187" s="145">
        <f t="shared" si="12"/>
        <v>0.86069742969999996</v>
      </c>
      <c r="K187" s="149">
        <f t="shared" si="13"/>
        <v>72.540890475510651</v>
      </c>
    </row>
    <row r="188" spans="1:11">
      <c r="A188" s="138">
        <f t="shared" si="10"/>
        <v>1.0791140000000001</v>
      </c>
      <c r="B188" s="138">
        <v>1079.114</v>
      </c>
      <c r="C188" s="138">
        <v>86.259</v>
      </c>
      <c r="D188" s="138">
        <v>13.741</v>
      </c>
      <c r="E188" s="138">
        <v>88.180999999999997</v>
      </c>
      <c r="F188" s="138">
        <v>11.819000000000001</v>
      </c>
      <c r="G188" s="138">
        <f t="shared" si="11"/>
        <v>86.259</v>
      </c>
      <c r="H188" s="138">
        <v>1</v>
      </c>
      <c r="I188" s="138">
        <v>1</v>
      </c>
      <c r="J188" s="145">
        <f t="shared" si="12"/>
        <v>0.86103070419999994</v>
      </c>
      <c r="K188" s="149">
        <f t="shared" si="13"/>
        <v>72.659952762542929</v>
      </c>
    </row>
    <row r="189" spans="1:11">
      <c r="A189" s="138">
        <f t="shared" si="10"/>
        <v>1.0822780000000001</v>
      </c>
      <c r="B189" s="138">
        <v>1082.278</v>
      </c>
      <c r="C189" s="138">
        <v>86.367000000000004</v>
      </c>
      <c r="D189" s="138">
        <v>13.632999999999999</v>
      </c>
      <c r="E189" s="138">
        <v>88.275000000000006</v>
      </c>
      <c r="F189" s="138">
        <v>11.725</v>
      </c>
      <c r="G189" s="138">
        <f t="shared" si="11"/>
        <v>86.367000000000004</v>
      </c>
      <c r="H189" s="138">
        <v>1</v>
      </c>
      <c r="I189" s="138">
        <v>1</v>
      </c>
      <c r="J189" s="145">
        <f t="shared" si="12"/>
        <v>0.86136387339999998</v>
      </c>
      <c r="K189" s="149">
        <f t="shared" si="13"/>
        <v>72.779076577647345</v>
      </c>
    </row>
    <row r="190" spans="1:11">
      <c r="A190" s="138">
        <f t="shared" si="10"/>
        <v>1.0854429999999999</v>
      </c>
      <c r="B190" s="138">
        <v>1085.443</v>
      </c>
      <c r="C190" s="138">
        <v>86.475999999999999</v>
      </c>
      <c r="D190" s="138">
        <v>13.523999999999999</v>
      </c>
      <c r="E190" s="138">
        <v>88.369</v>
      </c>
      <c r="F190" s="138">
        <v>11.631</v>
      </c>
      <c r="G190" s="138">
        <f t="shared" si="11"/>
        <v>86.475999999999999</v>
      </c>
      <c r="H190" s="138">
        <v>1</v>
      </c>
      <c r="I190" s="138">
        <v>1</v>
      </c>
      <c r="J190" s="145">
        <f t="shared" si="12"/>
        <v>0.86169714789999996</v>
      </c>
      <c r="K190" s="149">
        <f t="shared" si="13"/>
        <v>72.89912270220934</v>
      </c>
    </row>
    <row r="191" spans="1:11">
      <c r="A191" s="138">
        <f t="shared" si="10"/>
        <v>1.088608</v>
      </c>
      <c r="B191" s="138">
        <v>1088.6079999999999</v>
      </c>
      <c r="C191" s="138">
        <v>86.585999999999999</v>
      </c>
      <c r="D191" s="138">
        <v>13.414</v>
      </c>
      <c r="E191" s="138">
        <v>88.463999999999999</v>
      </c>
      <c r="F191" s="138">
        <v>11.536</v>
      </c>
      <c r="G191" s="138">
        <f t="shared" si="11"/>
        <v>86.585999999999999</v>
      </c>
      <c r="H191" s="138">
        <v>1</v>
      </c>
      <c r="I191" s="138">
        <v>1</v>
      </c>
      <c r="J191" s="145">
        <f t="shared" si="12"/>
        <v>0.86203042239999994</v>
      </c>
      <c r="K191" s="149">
        <f t="shared" si="13"/>
        <v>73.020083228386184</v>
      </c>
    </row>
    <row r="192" spans="1:11">
      <c r="A192" s="138">
        <f t="shared" si="10"/>
        <v>1.091772</v>
      </c>
      <c r="B192" s="138">
        <v>1091.7719999999999</v>
      </c>
      <c r="C192" s="138">
        <v>86.695999999999998</v>
      </c>
      <c r="D192" s="138">
        <v>13.304</v>
      </c>
      <c r="E192" s="138">
        <v>88.558999999999997</v>
      </c>
      <c r="F192" s="138">
        <v>11.441000000000001</v>
      </c>
      <c r="G192" s="138">
        <f t="shared" si="11"/>
        <v>86.695999999999998</v>
      </c>
      <c r="H192" s="138">
        <v>1</v>
      </c>
      <c r="I192" s="138">
        <v>1</v>
      </c>
      <c r="J192" s="145">
        <f t="shared" si="12"/>
        <v>0.86236359159999998</v>
      </c>
      <c r="K192" s="149">
        <f t="shared" si="13"/>
        <v>73.14110655291303</v>
      </c>
    </row>
    <row r="193" spans="1:11">
      <c r="A193" s="138">
        <f t="shared" si="10"/>
        <v>1.0949369999999998</v>
      </c>
      <c r="B193" s="138">
        <v>1094.9369999999999</v>
      </c>
      <c r="C193" s="138">
        <v>86.808000000000007</v>
      </c>
      <c r="D193" s="138">
        <v>13.192</v>
      </c>
      <c r="E193" s="138">
        <v>88.655000000000001</v>
      </c>
      <c r="F193" s="138">
        <v>11.345000000000001</v>
      </c>
      <c r="G193" s="138">
        <f t="shared" si="11"/>
        <v>86.808000000000007</v>
      </c>
      <c r="H193" s="138">
        <v>1</v>
      </c>
      <c r="I193" s="138">
        <v>1</v>
      </c>
      <c r="J193" s="145">
        <f t="shared" si="12"/>
        <v>0.86269686609999996</v>
      </c>
      <c r="K193" s="149">
        <f t="shared" si="13"/>
        <v>73.263898479121522</v>
      </c>
    </row>
    <row r="194" spans="1:11">
      <c r="A194" s="138">
        <f t="shared" si="10"/>
        <v>1.0981010000000002</v>
      </c>
      <c r="B194" s="138">
        <v>1098.1010000000001</v>
      </c>
      <c r="C194" s="138">
        <v>86.918999999999997</v>
      </c>
      <c r="D194" s="138">
        <v>13.081</v>
      </c>
      <c r="E194" s="138">
        <v>88.751000000000005</v>
      </c>
      <c r="F194" s="138">
        <v>11.249000000000001</v>
      </c>
      <c r="G194" s="138">
        <f t="shared" si="11"/>
        <v>86.918999999999997</v>
      </c>
      <c r="H194" s="138">
        <v>1</v>
      </c>
      <c r="I194" s="138">
        <v>1</v>
      </c>
      <c r="J194" s="145">
        <f t="shared" si="12"/>
        <v>0.8630300353</v>
      </c>
      <c r="K194" s="149">
        <f t="shared" si="13"/>
        <v>73.385910182490875</v>
      </c>
    </row>
    <row r="195" spans="1:11">
      <c r="A195" s="138">
        <f t="shared" si="10"/>
        <v>1.1012660000000001</v>
      </c>
      <c r="B195" s="138">
        <v>1101.2660000000001</v>
      </c>
      <c r="C195" s="138">
        <v>87.031000000000006</v>
      </c>
      <c r="D195" s="138">
        <v>12.968999999999999</v>
      </c>
      <c r="E195" s="138">
        <v>88.847999999999999</v>
      </c>
      <c r="F195" s="138">
        <v>11.151999999999999</v>
      </c>
      <c r="G195" s="138">
        <f t="shared" si="11"/>
        <v>87.031000000000006</v>
      </c>
      <c r="H195" s="138">
        <v>1</v>
      </c>
      <c r="I195" s="138">
        <v>1</v>
      </c>
      <c r="J195" s="145">
        <f t="shared" si="12"/>
        <v>0.86336330979999998</v>
      </c>
      <c r="K195" s="149">
        <f t="shared" si="13"/>
        <v>73.508847838133875</v>
      </c>
    </row>
    <row r="196" spans="1:11">
      <c r="A196" s="138">
        <f t="shared" si="10"/>
        <v>1.10443</v>
      </c>
      <c r="B196" s="138">
        <v>1104.43</v>
      </c>
      <c r="C196" s="138">
        <v>87.144000000000005</v>
      </c>
      <c r="D196" s="138">
        <v>12.856</v>
      </c>
      <c r="E196" s="138">
        <v>88.944999999999993</v>
      </c>
      <c r="F196" s="138">
        <v>11.055</v>
      </c>
      <c r="G196" s="138">
        <f t="shared" si="11"/>
        <v>87.144000000000005</v>
      </c>
      <c r="H196" s="138">
        <v>1</v>
      </c>
      <c r="I196" s="138">
        <v>1</v>
      </c>
      <c r="J196" s="145">
        <f t="shared" si="12"/>
        <v>0.86369647899999991</v>
      </c>
      <c r="K196" s="149">
        <f t="shared" si="13"/>
        <v>73.632694504514305</v>
      </c>
    </row>
    <row r="197" spans="1:11">
      <c r="A197" s="138">
        <f t="shared" si="10"/>
        <v>1.1075950000000001</v>
      </c>
      <c r="B197" s="138">
        <v>1107.595</v>
      </c>
      <c r="C197" s="138">
        <v>87.257000000000005</v>
      </c>
      <c r="D197" s="138">
        <v>12.743</v>
      </c>
      <c r="E197" s="138">
        <v>89.042000000000002</v>
      </c>
      <c r="F197" s="138">
        <v>10.958</v>
      </c>
      <c r="G197" s="138">
        <f t="shared" si="11"/>
        <v>87.257000000000005</v>
      </c>
      <c r="H197" s="138">
        <v>1</v>
      </c>
      <c r="I197" s="138">
        <v>1</v>
      </c>
      <c r="J197" s="145">
        <f t="shared" si="12"/>
        <v>0.8640297535</v>
      </c>
      <c r="K197" s="149">
        <f t="shared" si="13"/>
        <v>73.756623821984562</v>
      </c>
    </row>
    <row r="198" spans="1:11">
      <c r="A198" s="138">
        <f t="shared" ref="A198:A261" si="14">B198/1000</f>
        <v>1.1107590000000001</v>
      </c>
      <c r="B198" s="138">
        <v>1110.759</v>
      </c>
      <c r="C198" s="138">
        <v>87.370999999999995</v>
      </c>
      <c r="D198" s="138">
        <v>12.629</v>
      </c>
      <c r="E198" s="138">
        <v>89.14</v>
      </c>
      <c r="F198" s="138">
        <v>10.86</v>
      </c>
      <c r="G198" s="138">
        <f t="shared" ref="G198:G261" si="15">MIN(C198,E198)</f>
        <v>87.370999999999995</v>
      </c>
      <c r="H198" s="138">
        <v>1</v>
      </c>
      <c r="I198" s="138">
        <v>1</v>
      </c>
      <c r="J198" s="145">
        <f t="shared" ref="J198:J261" si="16">MIN(B198/1000*$M$1+$O$1,1)</f>
        <v>0.86436292269999992</v>
      </c>
      <c r="K198" s="149">
        <f t="shared" ref="K198:K242" si="17">MAX(G198*H198*I198*J198*$G$2/100,70)</f>
        <v>73.881463430874575</v>
      </c>
    </row>
    <row r="199" spans="1:11">
      <c r="A199" s="138">
        <f t="shared" si="14"/>
        <v>1.1139239999999999</v>
      </c>
      <c r="B199" s="138">
        <v>1113.924</v>
      </c>
      <c r="C199" s="138">
        <v>87.484999999999999</v>
      </c>
      <c r="D199" s="138">
        <v>12.515000000000001</v>
      </c>
      <c r="E199" s="138">
        <v>89.238</v>
      </c>
      <c r="F199" s="138">
        <v>10.762</v>
      </c>
      <c r="G199" s="138">
        <f t="shared" si="15"/>
        <v>87.484999999999999</v>
      </c>
      <c r="H199" s="138">
        <v>1</v>
      </c>
      <c r="I199" s="138">
        <v>1</v>
      </c>
      <c r="J199" s="145">
        <f t="shared" si="16"/>
        <v>0.86469619719999991</v>
      </c>
      <c r="K199" s="149">
        <f t="shared" si="17"/>
        <v>74.006386366220681</v>
      </c>
    </row>
    <row r="200" spans="1:11">
      <c r="A200" s="138">
        <f t="shared" si="14"/>
        <v>1.117089</v>
      </c>
      <c r="B200" s="138">
        <v>1117.0889999999999</v>
      </c>
      <c r="C200" s="138">
        <v>87.599000000000004</v>
      </c>
      <c r="D200" s="138">
        <v>12.401</v>
      </c>
      <c r="E200" s="138">
        <v>89.335999999999999</v>
      </c>
      <c r="F200" s="138">
        <v>10.664</v>
      </c>
      <c r="G200" s="138">
        <f t="shared" si="15"/>
        <v>87.599000000000004</v>
      </c>
      <c r="H200" s="138">
        <v>1</v>
      </c>
      <c r="I200" s="138">
        <v>1</v>
      </c>
      <c r="J200" s="145">
        <f t="shared" si="16"/>
        <v>0.8650294717</v>
      </c>
      <c r="K200" s="149">
        <f t="shared" si="17"/>
        <v>74.131383639243879</v>
      </c>
    </row>
    <row r="201" spans="1:11">
      <c r="A201" s="138">
        <f t="shared" si="14"/>
        <v>1.1202529999999999</v>
      </c>
      <c r="B201" s="138">
        <v>1120.2529999999999</v>
      </c>
      <c r="C201" s="138">
        <v>87.713999999999999</v>
      </c>
      <c r="D201" s="138">
        <v>12.286</v>
      </c>
      <c r="E201" s="138">
        <v>89.433999999999997</v>
      </c>
      <c r="F201" s="138">
        <v>10.566000000000001</v>
      </c>
      <c r="G201" s="138">
        <f t="shared" si="15"/>
        <v>87.713999999999999</v>
      </c>
      <c r="H201" s="138">
        <v>1</v>
      </c>
      <c r="I201" s="138">
        <v>1</v>
      </c>
      <c r="J201" s="145">
        <f t="shared" si="16"/>
        <v>0.86536264089999992</v>
      </c>
      <c r="K201" s="149">
        <f t="shared" si="17"/>
        <v>74.257292798461904</v>
      </c>
    </row>
    <row r="202" spans="1:11">
      <c r="A202" s="138">
        <f t="shared" si="14"/>
        <v>1.1234179999999998</v>
      </c>
      <c r="B202" s="138">
        <v>1123.4179999999999</v>
      </c>
      <c r="C202" s="138">
        <v>87.828999999999994</v>
      </c>
      <c r="D202" s="138">
        <v>12.170999999999999</v>
      </c>
      <c r="E202" s="138">
        <v>89.533000000000001</v>
      </c>
      <c r="F202" s="138">
        <v>10.467000000000001</v>
      </c>
      <c r="G202" s="138">
        <f t="shared" si="15"/>
        <v>87.828999999999994</v>
      </c>
      <c r="H202" s="138">
        <v>1</v>
      </c>
      <c r="I202" s="138">
        <v>1</v>
      </c>
      <c r="J202" s="145">
        <f t="shared" si="16"/>
        <v>0.8656959153999999</v>
      </c>
      <c r="K202" s="149">
        <f t="shared" si="17"/>
        <v>74.383285971452025</v>
      </c>
    </row>
    <row r="203" spans="1:11">
      <c r="A203" s="138">
        <f t="shared" si="14"/>
        <v>1.1265820000000002</v>
      </c>
      <c r="B203" s="138">
        <v>1126.5820000000001</v>
      </c>
      <c r="C203" s="138">
        <v>87.944000000000003</v>
      </c>
      <c r="D203" s="138">
        <v>12.055999999999999</v>
      </c>
      <c r="E203" s="138">
        <v>89.631</v>
      </c>
      <c r="F203" s="138">
        <v>10.369</v>
      </c>
      <c r="G203" s="138">
        <f t="shared" si="15"/>
        <v>87.944000000000003</v>
      </c>
      <c r="H203" s="138">
        <v>1</v>
      </c>
      <c r="I203" s="138">
        <v>1</v>
      </c>
      <c r="J203" s="145">
        <f t="shared" si="16"/>
        <v>0.86602908459999994</v>
      </c>
      <c r="K203" s="149">
        <f t="shared" si="17"/>
        <v>74.509345074653837</v>
      </c>
    </row>
    <row r="204" spans="1:11">
      <c r="A204" s="138">
        <f t="shared" si="14"/>
        <v>1.1297470000000001</v>
      </c>
      <c r="B204" s="138">
        <v>1129.7470000000001</v>
      </c>
      <c r="C204" s="138">
        <v>88.06</v>
      </c>
      <c r="D204" s="138">
        <v>11.94</v>
      </c>
      <c r="E204" s="138">
        <v>89.73</v>
      </c>
      <c r="F204" s="138">
        <v>10.27</v>
      </c>
      <c r="G204" s="138">
        <f t="shared" si="15"/>
        <v>88.06</v>
      </c>
      <c r="H204" s="138">
        <v>1</v>
      </c>
      <c r="I204" s="138">
        <v>1</v>
      </c>
      <c r="J204" s="145">
        <f t="shared" si="16"/>
        <v>0.86636235909999992</v>
      </c>
      <c r="K204" s="149">
        <f t="shared" si="17"/>
        <v>74.636335777617077</v>
      </c>
    </row>
    <row r="205" spans="1:11">
      <c r="A205" s="138">
        <f t="shared" si="14"/>
        <v>1.132911</v>
      </c>
      <c r="B205" s="138">
        <v>1132.9110000000001</v>
      </c>
      <c r="C205" s="138">
        <v>88.176000000000002</v>
      </c>
      <c r="D205" s="138">
        <v>11.824</v>
      </c>
      <c r="E205" s="138">
        <v>89.828999999999994</v>
      </c>
      <c r="F205" s="138">
        <v>10.170999999999999</v>
      </c>
      <c r="G205" s="138">
        <f t="shared" si="15"/>
        <v>88.176000000000002</v>
      </c>
      <c r="H205" s="138">
        <v>1</v>
      </c>
      <c r="I205" s="138">
        <v>1</v>
      </c>
      <c r="J205" s="145">
        <f t="shared" si="16"/>
        <v>0.86669552829999996</v>
      </c>
      <c r="K205" s="149">
        <f t="shared" si="17"/>
        <v>74.763393038977441</v>
      </c>
    </row>
    <row r="206" spans="1:11">
      <c r="A206" s="138">
        <f t="shared" si="14"/>
        <v>1.1360760000000001</v>
      </c>
      <c r="B206" s="138">
        <v>1136.076</v>
      </c>
      <c r="C206" s="138">
        <v>88.292000000000002</v>
      </c>
      <c r="D206" s="138">
        <v>11.708</v>
      </c>
      <c r="E206" s="138">
        <v>89.929000000000002</v>
      </c>
      <c r="F206" s="138">
        <v>10.071</v>
      </c>
      <c r="G206" s="138">
        <f t="shared" si="15"/>
        <v>88.292000000000002</v>
      </c>
      <c r="H206" s="138">
        <v>1</v>
      </c>
      <c r="I206" s="138">
        <v>1</v>
      </c>
      <c r="J206" s="145">
        <f t="shared" si="16"/>
        <v>0.86702880279999994</v>
      </c>
      <c r="K206" s="149">
        <f t="shared" si="17"/>
        <v>74.890535013684655</v>
      </c>
    </row>
    <row r="207" spans="1:11">
      <c r="A207" s="138">
        <f t="shared" si="14"/>
        <v>1.1392409999999999</v>
      </c>
      <c r="B207" s="138">
        <v>1139.241</v>
      </c>
      <c r="C207" s="138">
        <v>88.408000000000001</v>
      </c>
      <c r="D207" s="138">
        <v>11.592000000000001</v>
      </c>
      <c r="E207" s="138">
        <v>90.028000000000006</v>
      </c>
      <c r="F207" s="138">
        <v>9.9719999999999995</v>
      </c>
      <c r="G207" s="138">
        <f t="shared" si="15"/>
        <v>88.408000000000001</v>
      </c>
      <c r="H207" s="138">
        <v>1</v>
      </c>
      <c r="I207" s="138">
        <v>1</v>
      </c>
      <c r="J207" s="145">
        <f t="shared" si="16"/>
        <v>0.86736207729999992</v>
      </c>
      <c r="K207" s="149">
        <f t="shared" si="17"/>
        <v>75.017752630238732</v>
      </c>
    </row>
    <row r="208" spans="1:11">
      <c r="A208" s="138">
        <f t="shared" si="14"/>
        <v>1.1424049999999999</v>
      </c>
      <c r="B208" s="138">
        <v>1142.405</v>
      </c>
      <c r="C208" s="138">
        <v>88.524000000000001</v>
      </c>
      <c r="D208" s="138">
        <v>11.476000000000001</v>
      </c>
      <c r="E208" s="138">
        <v>90.126999999999995</v>
      </c>
      <c r="F208" s="138">
        <v>9.8729999999999993</v>
      </c>
      <c r="G208" s="138">
        <f t="shared" si="15"/>
        <v>88.524000000000001</v>
      </c>
      <c r="H208" s="138">
        <v>1</v>
      </c>
      <c r="I208" s="138">
        <v>1</v>
      </c>
      <c r="J208" s="145">
        <f t="shared" si="16"/>
        <v>0.86769524649999996</v>
      </c>
      <c r="K208" s="149">
        <f t="shared" si="17"/>
        <v>75.145036769340692</v>
      </c>
    </row>
    <row r="209" spans="1:11">
      <c r="A209" s="138">
        <f t="shared" si="14"/>
        <v>1.14557</v>
      </c>
      <c r="B209" s="138">
        <v>1145.57</v>
      </c>
      <c r="C209" s="138">
        <v>88.64</v>
      </c>
      <c r="D209" s="138">
        <v>11.36</v>
      </c>
      <c r="E209" s="138">
        <v>90.225999999999999</v>
      </c>
      <c r="F209" s="138">
        <v>9.7739999999999991</v>
      </c>
      <c r="G209" s="138">
        <f t="shared" si="15"/>
        <v>88.64</v>
      </c>
      <c r="H209" s="138">
        <v>1</v>
      </c>
      <c r="I209" s="138">
        <v>1</v>
      </c>
      <c r="J209" s="145">
        <f t="shared" si="16"/>
        <v>0.86802852099999994</v>
      </c>
      <c r="K209" s="149">
        <f t="shared" si="17"/>
        <v>75.272405657638743</v>
      </c>
    </row>
    <row r="210" spans="1:11">
      <c r="A210" s="138">
        <f t="shared" si="14"/>
        <v>1.1487339999999999</v>
      </c>
      <c r="B210" s="138">
        <v>1148.7339999999999</v>
      </c>
      <c r="C210" s="138">
        <v>88.757000000000005</v>
      </c>
      <c r="D210" s="138">
        <v>11.243</v>
      </c>
      <c r="E210" s="138">
        <v>90.325999999999993</v>
      </c>
      <c r="F210" s="138">
        <v>9.6739999999999995</v>
      </c>
      <c r="G210" s="138">
        <f t="shared" si="15"/>
        <v>88.757000000000005</v>
      </c>
      <c r="H210" s="138">
        <v>1</v>
      </c>
      <c r="I210" s="138">
        <v>1</v>
      </c>
      <c r="J210" s="145">
        <f t="shared" si="16"/>
        <v>0.86836169019999998</v>
      </c>
      <c r="K210" s="149">
        <f t="shared" si="17"/>
        <v>75.400690562826739</v>
      </c>
    </row>
    <row r="211" spans="1:11">
      <c r="A211" s="138">
        <f t="shared" si="14"/>
        <v>1.1518989999999998</v>
      </c>
      <c r="B211" s="138">
        <v>1151.8989999999999</v>
      </c>
      <c r="C211" s="138">
        <v>88.873000000000005</v>
      </c>
      <c r="D211" s="138">
        <v>11.127000000000001</v>
      </c>
      <c r="E211" s="138">
        <v>90.424999999999997</v>
      </c>
      <c r="F211" s="138">
        <v>9.5749999999999993</v>
      </c>
      <c r="G211" s="138">
        <f t="shared" si="15"/>
        <v>88.873000000000005</v>
      </c>
      <c r="H211" s="138">
        <v>1</v>
      </c>
      <c r="I211" s="138">
        <v>1</v>
      </c>
      <c r="J211" s="145">
        <f t="shared" si="16"/>
        <v>0.86869496469999996</v>
      </c>
      <c r="K211" s="149">
        <f t="shared" si="17"/>
        <v>75.528211048911203</v>
      </c>
    </row>
    <row r="212" spans="1:11">
      <c r="A212" s="138">
        <f t="shared" si="14"/>
        <v>1.1550630000000002</v>
      </c>
      <c r="B212" s="138">
        <v>1155.0630000000001</v>
      </c>
      <c r="C212" s="138">
        <v>88.99</v>
      </c>
      <c r="D212" s="138">
        <v>11.01</v>
      </c>
      <c r="E212" s="138">
        <v>90.524000000000001</v>
      </c>
      <c r="F212" s="138">
        <v>9.4760000000000009</v>
      </c>
      <c r="G212" s="138">
        <f t="shared" si="15"/>
        <v>88.99</v>
      </c>
      <c r="H212" s="138">
        <v>1</v>
      </c>
      <c r="I212" s="138">
        <v>1</v>
      </c>
      <c r="J212" s="145">
        <f t="shared" si="16"/>
        <v>0.8690281339</v>
      </c>
      <c r="K212" s="149">
        <f t="shared" si="17"/>
        <v>75.656648179864973</v>
      </c>
    </row>
    <row r="213" spans="1:11">
      <c r="A213" s="138">
        <f t="shared" si="14"/>
        <v>1.158228</v>
      </c>
      <c r="B213" s="138">
        <v>1158.2280000000001</v>
      </c>
      <c r="C213" s="138">
        <v>89.106999999999999</v>
      </c>
      <c r="D213" s="138">
        <v>10.893000000000001</v>
      </c>
      <c r="E213" s="138">
        <v>90.623000000000005</v>
      </c>
      <c r="F213" s="138">
        <v>9.3770000000000007</v>
      </c>
      <c r="G213" s="138">
        <f t="shared" si="15"/>
        <v>89.106999999999999</v>
      </c>
      <c r="H213" s="138">
        <v>1</v>
      </c>
      <c r="I213" s="138">
        <v>1</v>
      </c>
      <c r="J213" s="145">
        <f t="shared" si="16"/>
        <v>0.86936140839999998</v>
      </c>
      <c r="K213" s="149">
        <f t="shared" si="17"/>
        <v>75.785170760001705</v>
      </c>
    </row>
    <row r="214" spans="1:11">
      <c r="A214" s="138">
        <f t="shared" si="14"/>
        <v>1.161392</v>
      </c>
      <c r="B214" s="138">
        <v>1161.3920000000001</v>
      </c>
      <c r="C214" s="138">
        <v>89.222999999999999</v>
      </c>
      <c r="D214" s="138">
        <v>10.776999999999999</v>
      </c>
      <c r="E214" s="138">
        <v>90.721999999999994</v>
      </c>
      <c r="F214" s="138">
        <v>9.2780000000000005</v>
      </c>
      <c r="G214" s="138">
        <f t="shared" si="15"/>
        <v>89.222999999999999</v>
      </c>
      <c r="H214" s="138">
        <v>1</v>
      </c>
      <c r="I214" s="138">
        <v>1</v>
      </c>
      <c r="J214" s="145">
        <f t="shared" si="16"/>
        <v>0.86969457760000002</v>
      </c>
      <c r="K214" s="149">
        <f t="shared" si="17"/>
        <v>75.912909620455451</v>
      </c>
    </row>
    <row r="215" spans="1:11">
      <c r="A215" s="138">
        <f t="shared" si="14"/>
        <v>1.1645570000000001</v>
      </c>
      <c r="B215" s="138">
        <v>1164.557</v>
      </c>
      <c r="C215" s="138">
        <v>89.34</v>
      </c>
      <c r="D215" s="138">
        <v>10.66</v>
      </c>
      <c r="E215" s="138">
        <v>90.820999999999998</v>
      </c>
      <c r="F215" s="138">
        <v>9.1790000000000003</v>
      </c>
      <c r="G215" s="138">
        <f t="shared" si="15"/>
        <v>89.34</v>
      </c>
      <c r="H215" s="138">
        <v>1</v>
      </c>
      <c r="I215" s="138">
        <v>1</v>
      </c>
      <c r="J215" s="145">
        <f t="shared" si="16"/>
        <v>0.8700278521</v>
      </c>
      <c r="K215" s="149">
        <f t="shared" si="17"/>
        <v>76.041584450360475</v>
      </c>
    </row>
    <row r="216" spans="1:11">
      <c r="A216" s="138">
        <f t="shared" si="14"/>
        <v>1.1677219999999999</v>
      </c>
      <c r="B216" s="138">
        <v>1167.722</v>
      </c>
      <c r="C216" s="138">
        <v>89.456000000000003</v>
      </c>
      <c r="D216" s="138">
        <v>10.544</v>
      </c>
      <c r="E216" s="138">
        <v>90.92</v>
      </c>
      <c r="F216" s="138">
        <v>9.08</v>
      </c>
      <c r="G216" s="138">
        <f t="shared" si="15"/>
        <v>89.456000000000003</v>
      </c>
      <c r="H216" s="138">
        <v>1</v>
      </c>
      <c r="I216" s="138">
        <v>1</v>
      </c>
      <c r="J216" s="145">
        <f t="shared" si="16"/>
        <v>0.87036112659999998</v>
      </c>
      <c r="K216" s="149">
        <f t="shared" si="17"/>
        <v>76.169484099907095</v>
      </c>
    </row>
    <row r="217" spans="1:11">
      <c r="A217" s="138">
        <f t="shared" si="14"/>
        <v>1.1708859999999999</v>
      </c>
      <c r="B217" s="138">
        <v>1170.886</v>
      </c>
      <c r="C217" s="138">
        <v>89.572000000000003</v>
      </c>
      <c r="D217" s="138">
        <v>10.428000000000001</v>
      </c>
      <c r="E217" s="138">
        <v>91.019000000000005</v>
      </c>
      <c r="F217" s="138">
        <v>8.9809999999999999</v>
      </c>
      <c r="G217" s="138">
        <f t="shared" si="15"/>
        <v>89.572000000000003</v>
      </c>
      <c r="H217" s="138">
        <v>1</v>
      </c>
      <c r="I217" s="138">
        <v>1</v>
      </c>
      <c r="J217" s="145">
        <f t="shared" si="16"/>
        <v>0.87069429579999991</v>
      </c>
      <c r="K217" s="149">
        <f t="shared" si="17"/>
        <v>76.297450164041862</v>
      </c>
    </row>
    <row r="218" spans="1:11">
      <c r="A218" s="138">
        <f t="shared" si="14"/>
        <v>1.174051</v>
      </c>
      <c r="B218" s="138">
        <v>1174.0509999999999</v>
      </c>
      <c r="C218" s="138">
        <v>89.688000000000002</v>
      </c>
      <c r="D218" s="138">
        <v>10.311999999999999</v>
      </c>
      <c r="E218" s="138">
        <v>91.117000000000004</v>
      </c>
      <c r="F218" s="138">
        <v>8.8829999999999991</v>
      </c>
      <c r="G218" s="138">
        <f t="shared" si="15"/>
        <v>89.688000000000002</v>
      </c>
      <c r="H218" s="138">
        <v>1</v>
      </c>
      <c r="I218" s="138">
        <v>1</v>
      </c>
      <c r="J218" s="145">
        <f t="shared" si="16"/>
        <v>0.8710275703</v>
      </c>
      <c r="K218" s="149">
        <f t="shared" si="17"/>
        <v>76.425501085332456</v>
      </c>
    </row>
    <row r="219" spans="1:11">
      <c r="A219" s="138">
        <f t="shared" si="14"/>
        <v>1.1772149999999999</v>
      </c>
      <c r="B219" s="138">
        <v>1177.2149999999999</v>
      </c>
      <c r="C219" s="138">
        <v>89.804000000000002</v>
      </c>
      <c r="D219" s="138">
        <v>10.196</v>
      </c>
      <c r="E219" s="138">
        <v>91.215999999999994</v>
      </c>
      <c r="F219" s="138">
        <v>8.7840000000000007</v>
      </c>
      <c r="G219" s="138">
        <f t="shared" si="15"/>
        <v>89.804000000000002</v>
      </c>
      <c r="H219" s="138">
        <v>1</v>
      </c>
      <c r="I219" s="138">
        <v>1</v>
      </c>
      <c r="J219" s="145">
        <f t="shared" si="16"/>
        <v>0.87136073949999993</v>
      </c>
      <c r="K219" s="149">
        <f t="shared" si="17"/>
        <v>76.553618397311737</v>
      </c>
    </row>
    <row r="220" spans="1:11">
      <c r="A220" s="138">
        <f t="shared" si="14"/>
        <v>1.1803800000000002</v>
      </c>
      <c r="B220" s="138">
        <v>1180.3800000000001</v>
      </c>
      <c r="C220" s="138">
        <v>89.92</v>
      </c>
      <c r="D220" s="138">
        <v>10.08</v>
      </c>
      <c r="E220" s="138">
        <v>91.313999999999993</v>
      </c>
      <c r="F220" s="138">
        <v>8.6859999999999999</v>
      </c>
      <c r="G220" s="138">
        <f t="shared" si="15"/>
        <v>89.92</v>
      </c>
      <c r="H220" s="138">
        <v>1</v>
      </c>
      <c r="I220" s="138">
        <v>1</v>
      </c>
      <c r="J220" s="145">
        <f t="shared" si="16"/>
        <v>0.87169401400000002</v>
      </c>
      <c r="K220" s="149">
        <f t="shared" si="17"/>
        <v>76.681820590346291</v>
      </c>
    </row>
    <row r="221" spans="1:11">
      <c r="A221" s="138">
        <f t="shared" si="14"/>
        <v>1.1835440000000002</v>
      </c>
      <c r="B221" s="138">
        <v>1183.5440000000001</v>
      </c>
      <c r="C221" s="138">
        <v>90.036000000000001</v>
      </c>
      <c r="D221" s="138">
        <v>9.9640000000000004</v>
      </c>
      <c r="E221" s="138">
        <v>91.412000000000006</v>
      </c>
      <c r="F221" s="138">
        <v>8.5879999999999992</v>
      </c>
      <c r="G221" s="138">
        <f t="shared" si="15"/>
        <v>90.036000000000001</v>
      </c>
      <c r="H221" s="138">
        <v>1</v>
      </c>
      <c r="I221" s="138">
        <v>1</v>
      </c>
      <c r="J221" s="145">
        <f t="shared" si="16"/>
        <v>0.87202718319999994</v>
      </c>
      <c r="K221" s="149">
        <f t="shared" si="17"/>
        <v>76.810089150170086</v>
      </c>
    </row>
    <row r="222" spans="1:11">
      <c r="A222" s="138">
        <f t="shared" si="14"/>
        <v>1.186709</v>
      </c>
      <c r="B222" s="138">
        <v>1186.7090000000001</v>
      </c>
      <c r="C222" s="138">
        <v>90.152000000000001</v>
      </c>
      <c r="D222" s="138">
        <v>9.8480000000000008</v>
      </c>
      <c r="E222" s="138">
        <v>91.509</v>
      </c>
      <c r="F222" s="138">
        <v>8.4909999999999997</v>
      </c>
      <c r="G222" s="138">
        <f t="shared" si="15"/>
        <v>90.152000000000001</v>
      </c>
      <c r="H222" s="138">
        <v>1</v>
      </c>
      <c r="I222" s="138">
        <v>1</v>
      </c>
      <c r="J222" s="145">
        <f t="shared" si="16"/>
        <v>0.87236045769999992</v>
      </c>
      <c r="K222" s="149">
        <f t="shared" si="17"/>
        <v>76.938442614948613</v>
      </c>
    </row>
    <row r="223" spans="1:11">
      <c r="A223" s="138">
        <f t="shared" si="14"/>
        <v>1.189873</v>
      </c>
      <c r="B223" s="138">
        <v>1189.873</v>
      </c>
      <c r="C223" s="138">
        <v>90.266999999999996</v>
      </c>
      <c r="D223" s="138">
        <v>9.7330000000000005</v>
      </c>
      <c r="E223" s="138">
        <v>91.606999999999999</v>
      </c>
      <c r="F223" s="138">
        <v>8.3930000000000007</v>
      </c>
      <c r="G223" s="138">
        <f t="shared" si="15"/>
        <v>90.266999999999996</v>
      </c>
      <c r="H223" s="138">
        <v>1</v>
      </c>
      <c r="I223" s="138">
        <v>1</v>
      </c>
      <c r="J223" s="145">
        <f t="shared" si="16"/>
        <v>0.87269362689999996</v>
      </c>
      <c r="K223" s="149">
        <f t="shared" si="17"/>
        <v>77.066008666441689</v>
      </c>
    </row>
    <row r="224" spans="1:11">
      <c r="A224" s="138">
        <f t="shared" si="14"/>
        <v>1.193038</v>
      </c>
      <c r="B224" s="138">
        <v>1193.038</v>
      </c>
      <c r="C224" s="138">
        <v>90.382000000000005</v>
      </c>
      <c r="D224" s="138">
        <v>9.6180000000000003</v>
      </c>
      <c r="E224" s="138">
        <v>91.703999999999994</v>
      </c>
      <c r="F224" s="138">
        <v>8.2959999999999994</v>
      </c>
      <c r="G224" s="138">
        <f t="shared" si="15"/>
        <v>90.382000000000005</v>
      </c>
      <c r="H224" s="138">
        <v>1</v>
      </c>
      <c r="I224" s="138">
        <v>1</v>
      </c>
      <c r="J224" s="145">
        <f t="shared" si="16"/>
        <v>0.87302690139999994</v>
      </c>
      <c r="K224" s="149">
        <f t="shared" si="17"/>
        <v>77.193658994704123</v>
      </c>
    </row>
    <row r="225" spans="1:11">
      <c r="A225" s="138">
        <f t="shared" si="14"/>
        <v>1.1962029999999999</v>
      </c>
      <c r="B225" s="138">
        <v>1196.203</v>
      </c>
      <c r="C225" s="138">
        <v>90.497</v>
      </c>
      <c r="D225" s="138">
        <v>9.5030000000000001</v>
      </c>
      <c r="E225" s="138">
        <v>91.801000000000002</v>
      </c>
      <c r="F225" s="138">
        <v>8.1989999999999998</v>
      </c>
      <c r="G225" s="138">
        <f t="shared" si="15"/>
        <v>90.497</v>
      </c>
      <c r="H225" s="138">
        <v>1</v>
      </c>
      <c r="I225" s="138">
        <v>1</v>
      </c>
      <c r="J225" s="145">
        <f t="shared" si="16"/>
        <v>0.87336017589999992</v>
      </c>
      <c r="K225" s="149">
        <f t="shared" si="17"/>
        <v>77.321384312728526</v>
      </c>
    </row>
    <row r="226" spans="1:11">
      <c r="A226" s="138">
        <f t="shared" si="14"/>
        <v>1.1993670000000001</v>
      </c>
      <c r="B226" s="138">
        <v>1199.367</v>
      </c>
      <c r="C226" s="138">
        <v>90.611000000000004</v>
      </c>
      <c r="D226" s="138">
        <v>9.3889999999999993</v>
      </c>
      <c r="E226" s="138">
        <v>91.897000000000006</v>
      </c>
      <c r="F226" s="138">
        <v>8.1029999999999998</v>
      </c>
      <c r="G226" s="138">
        <f t="shared" si="15"/>
        <v>90.611000000000004</v>
      </c>
      <c r="H226" s="138">
        <v>1</v>
      </c>
      <c r="I226" s="138">
        <v>1</v>
      </c>
      <c r="J226" s="145">
        <f t="shared" si="16"/>
        <v>0.87369334509999996</v>
      </c>
      <c r="K226" s="149">
        <f t="shared" si="17"/>
        <v>77.448320551921114</v>
      </c>
    </row>
    <row r="227" spans="1:11">
      <c r="A227" s="138">
        <f t="shared" si="14"/>
        <v>1.2025319999999999</v>
      </c>
      <c r="B227" s="138">
        <v>1202.5319999999999</v>
      </c>
      <c r="C227" s="138">
        <v>90.724999999999994</v>
      </c>
      <c r="D227" s="138">
        <v>9.2750000000000004</v>
      </c>
      <c r="E227" s="138">
        <v>91.992999999999995</v>
      </c>
      <c r="F227" s="138">
        <v>8.0069999999999997</v>
      </c>
      <c r="G227" s="138">
        <f t="shared" si="15"/>
        <v>90.724999999999994</v>
      </c>
      <c r="H227" s="138">
        <v>1</v>
      </c>
      <c r="I227" s="138">
        <v>1</v>
      </c>
      <c r="J227" s="145">
        <f t="shared" si="16"/>
        <v>0.87402661959999994</v>
      </c>
      <c r="K227" s="149">
        <f t="shared" si="17"/>
        <v>77.575340451338334</v>
      </c>
    </row>
    <row r="228" spans="1:11">
      <c r="A228" s="138">
        <f t="shared" si="14"/>
        <v>1.2056959999999999</v>
      </c>
      <c r="B228" s="138">
        <v>1205.6959999999999</v>
      </c>
      <c r="C228" s="138">
        <v>90.838999999999999</v>
      </c>
      <c r="D228" s="138">
        <v>9.1609999999999996</v>
      </c>
      <c r="E228" s="138">
        <v>92.088999999999999</v>
      </c>
      <c r="F228" s="138">
        <v>7.9109999999999996</v>
      </c>
      <c r="G228" s="138">
        <f t="shared" si="15"/>
        <v>90.838999999999999</v>
      </c>
      <c r="H228" s="138">
        <v>1</v>
      </c>
      <c r="I228" s="138">
        <v>1</v>
      </c>
      <c r="J228" s="145">
        <f t="shared" si="16"/>
        <v>0.87435978879999998</v>
      </c>
      <c r="K228" s="149">
        <f t="shared" si="17"/>
        <v>77.702425330653966</v>
      </c>
    </row>
    <row r="229" spans="1:11">
      <c r="A229" s="138">
        <f t="shared" si="14"/>
        <v>1.2088610000000002</v>
      </c>
      <c r="B229" s="138">
        <v>1208.8610000000001</v>
      </c>
      <c r="C229" s="138">
        <v>90.951999999999998</v>
      </c>
      <c r="D229" s="138">
        <v>9.048</v>
      </c>
      <c r="E229" s="138">
        <v>92.185000000000002</v>
      </c>
      <c r="F229" s="138">
        <v>7.8150000000000004</v>
      </c>
      <c r="G229" s="138">
        <f t="shared" si="15"/>
        <v>90.951999999999998</v>
      </c>
      <c r="H229" s="138">
        <v>1</v>
      </c>
      <c r="I229" s="138">
        <v>1</v>
      </c>
      <c r="J229" s="145">
        <f t="shared" si="16"/>
        <v>0.87469306329999996</v>
      </c>
      <c r="K229" s="149">
        <f t="shared" si="17"/>
        <v>77.828738181457808</v>
      </c>
    </row>
    <row r="230" spans="1:11">
      <c r="A230" s="138">
        <f t="shared" si="14"/>
        <v>1.2120250000000001</v>
      </c>
      <c r="B230" s="138">
        <v>1212.0250000000001</v>
      </c>
      <c r="C230" s="138">
        <v>91.064999999999998</v>
      </c>
      <c r="D230" s="138">
        <v>8.9350000000000005</v>
      </c>
      <c r="E230" s="138">
        <v>92.28</v>
      </c>
      <c r="F230" s="138">
        <v>7.72</v>
      </c>
      <c r="G230" s="138">
        <f t="shared" si="15"/>
        <v>91.064999999999998</v>
      </c>
      <c r="H230" s="138">
        <v>1</v>
      </c>
      <c r="I230" s="138">
        <v>1</v>
      </c>
      <c r="J230" s="145">
        <f t="shared" si="16"/>
        <v>0.8750262325</v>
      </c>
      <c r="K230" s="149">
        <f t="shared" si="17"/>
        <v>77.95511533679381</v>
      </c>
    </row>
    <row r="231" spans="1:11">
      <c r="A231" s="138">
        <f t="shared" si="14"/>
        <v>1.21519</v>
      </c>
      <c r="B231" s="138">
        <v>1215.19</v>
      </c>
      <c r="C231" s="138">
        <v>91.177999999999997</v>
      </c>
      <c r="D231" s="138">
        <v>8.8219999999999992</v>
      </c>
      <c r="E231" s="138">
        <v>92.375</v>
      </c>
      <c r="F231" s="138">
        <v>7.625</v>
      </c>
      <c r="G231" s="138">
        <f t="shared" si="15"/>
        <v>91.177999999999997</v>
      </c>
      <c r="H231" s="138">
        <v>1</v>
      </c>
      <c r="I231" s="138">
        <v>1</v>
      </c>
      <c r="J231" s="145">
        <f t="shared" si="16"/>
        <v>0.87535950699999998</v>
      </c>
      <c r="K231" s="149">
        <f t="shared" si="17"/>
        <v>78.081575547141355</v>
      </c>
    </row>
    <row r="232" spans="1:11">
      <c r="A232" s="138">
        <f t="shared" si="14"/>
        <v>1.2183539999999999</v>
      </c>
      <c r="B232" s="138">
        <v>1218.354</v>
      </c>
      <c r="C232" s="138">
        <v>91.29</v>
      </c>
      <c r="D232" s="138">
        <v>8.7100000000000009</v>
      </c>
      <c r="E232" s="138">
        <v>92.468999999999994</v>
      </c>
      <c r="F232" s="138">
        <v>7.5309999999999997</v>
      </c>
      <c r="G232" s="138">
        <f t="shared" si="15"/>
        <v>91.29</v>
      </c>
      <c r="H232" s="138">
        <v>1</v>
      </c>
      <c r="I232" s="138">
        <v>1</v>
      </c>
      <c r="J232" s="145">
        <f t="shared" si="16"/>
        <v>0.87569267619999991</v>
      </c>
      <c r="K232" s="149">
        <f t="shared" si="17"/>
        <v>78.207243348594517</v>
      </c>
    </row>
    <row r="233" spans="1:11">
      <c r="A233" s="138">
        <f t="shared" si="14"/>
        <v>1.221519</v>
      </c>
      <c r="B233" s="138">
        <v>1221.519</v>
      </c>
      <c r="C233" s="138">
        <v>91.402000000000001</v>
      </c>
      <c r="D233" s="138">
        <v>8.5980000000000008</v>
      </c>
      <c r="E233" s="138">
        <v>92.563000000000002</v>
      </c>
      <c r="F233" s="138">
        <v>7.4370000000000003</v>
      </c>
      <c r="G233" s="138">
        <f t="shared" si="15"/>
        <v>91.402000000000001</v>
      </c>
      <c r="H233" s="138">
        <v>1</v>
      </c>
      <c r="I233" s="138">
        <v>1</v>
      </c>
      <c r="J233" s="145">
        <f t="shared" si="16"/>
        <v>0.8760259507</v>
      </c>
      <c r="K233" s="149">
        <f t="shared" si="17"/>
        <v>78.332993576255774</v>
      </c>
    </row>
    <row r="234" spans="1:11">
      <c r="A234" s="138">
        <f t="shared" si="14"/>
        <v>1.2246839999999999</v>
      </c>
      <c r="B234" s="138">
        <v>1224.684</v>
      </c>
      <c r="C234" s="138">
        <v>91.513999999999996</v>
      </c>
      <c r="D234" s="138">
        <v>8.4860000000000007</v>
      </c>
      <c r="E234" s="138">
        <v>92.656000000000006</v>
      </c>
      <c r="F234" s="138">
        <v>7.3440000000000003</v>
      </c>
      <c r="G234" s="138">
        <f t="shared" si="15"/>
        <v>91.513999999999996</v>
      </c>
      <c r="H234" s="138">
        <v>1</v>
      </c>
      <c r="I234" s="138">
        <v>1</v>
      </c>
      <c r="J234" s="145">
        <f t="shared" si="16"/>
        <v>0.87635922519999998</v>
      </c>
      <c r="K234" s="149">
        <f t="shared" si="17"/>
        <v>78.458816837424308</v>
      </c>
    </row>
    <row r="235" spans="1:11">
      <c r="A235" s="138">
        <f t="shared" si="14"/>
        <v>1.2278480000000001</v>
      </c>
      <c r="B235" s="138">
        <v>1227.848</v>
      </c>
      <c r="C235" s="138">
        <v>91.625</v>
      </c>
      <c r="D235" s="138">
        <v>8.375</v>
      </c>
      <c r="E235" s="138">
        <v>92.748999999999995</v>
      </c>
      <c r="F235" s="138">
        <v>7.2510000000000003</v>
      </c>
      <c r="G235" s="138">
        <f t="shared" si="15"/>
        <v>91.625</v>
      </c>
      <c r="H235" s="138">
        <v>1</v>
      </c>
      <c r="I235" s="138">
        <v>1</v>
      </c>
      <c r="J235" s="145">
        <f t="shared" si="16"/>
        <v>0.87669239440000002</v>
      </c>
      <c r="K235" s="149">
        <f t="shared" si="17"/>
        <v>78.583846025079268</v>
      </c>
    </row>
    <row r="236" spans="1:11">
      <c r="A236" s="138">
        <f t="shared" si="14"/>
        <v>1.2310129999999999</v>
      </c>
      <c r="B236" s="138">
        <v>1231.0129999999999</v>
      </c>
      <c r="C236" s="138">
        <v>91.734999999999999</v>
      </c>
      <c r="D236" s="138">
        <v>8.2650000000000006</v>
      </c>
      <c r="E236" s="138">
        <v>92.841999999999999</v>
      </c>
      <c r="F236" s="138">
        <v>7.1580000000000004</v>
      </c>
      <c r="G236" s="138">
        <f t="shared" si="15"/>
        <v>91.734999999999999</v>
      </c>
      <c r="H236" s="138">
        <v>1</v>
      </c>
      <c r="I236" s="138">
        <v>1</v>
      </c>
      <c r="J236" s="145">
        <f t="shared" si="16"/>
        <v>0.8770256689</v>
      </c>
      <c r="K236" s="149">
        <f t="shared" si="17"/>
        <v>78.708099027258555</v>
      </c>
    </row>
    <row r="237" spans="1:11">
      <c r="A237" s="138">
        <f t="shared" si="14"/>
        <v>1.2341769999999999</v>
      </c>
      <c r="B237" s="138">
        <v>1234.1769999999999</v>
      </c>
      <c r="C237" s="138">
        <v>91.844999999999999</v>
      </c>
      <c r="D237" s="138">
        <v>8.1549999999999994</v>
      </c>
      <c r="E237" s="138">
        <v>92.933999999999997</v>
      </c>
      <c r="F237" s="138">
        <v>7.0659999999999998</v>
      </c>
      <c r="G237" s="138">
        <f t="shared" si="15"/>
        <v>91.844999999999999</v>
      </c>
      <c r="H237" s="138">
        <v>1</v>
      </c>
      <c r="I237" s="138">
        <v>1</v>
      </c>
      <c r="J237" s="145">
        <f t="shared" si="16"/>
        <v>0.87735883809999993</v>
      </c>
      <c r="K237" s="149">
        <f t="shared" si="17"/>
        <v>78.832414297363599</v>
      </c>
    </row>
    <row r="238" spans="1:11">
      <c r="A238" s="138">
        <f t="shared" si="14"/>
        <v>1.2373420000000002</v>
      </c>
      <c r="B238" s="138">
        <v>1237.3420000000001</v>
      </c>
      <c r="C238" s="138">
        <v>91.954999999999998</v>
      </c>
      <c r="D238" s="138">
        <v>8.0449999999999999</v>
      </c>
      <c r="E238" s="138">
        <v>93.025999999999996</v>
      </c>
      <c r="F238" s="138">
        <v>6.9740000000000002</v>
      </c>
      <c r="G238" s="138">
        <f t="shared" si="15"/>
        <v>91.954999999999998</v>
      </c>
      <c r="H238" s="138">
        <v>1</v>
      </c>
      <c r="I238" s="138">
        <v>1</v>
      </c>
      <c r="J238" s="145">
        <f t="shared" si="16"/>
        <v>0.87769211259999991</v>
      </c>
      <c r="K238" s="149">
        <f t="shared" si="17"/>
        <v>78.956810746886291</v>
      </c>
    </row>
    <row r="239" spans="1:11">
      <c r="A239" s="138">
        <f t="shared" si="14"/>
        <v>1.2405060000000001</v>
      </c>
      <c r="B239" s="138">
        <v>1240.5060000000001</v>
      </c>
      <c r="C239" s="138">
        <v>92.063999999999993</v>
      </c>
      <c r="D239" s="138">
        <v>7.9359999999999999</v>
      </c>
      <c r="E239" s="138">
        <v>93.117000000000004</v>
      </c>
      <c r="F239" s="138">
        <v>6.883</v>
      </c>
      <c r="G239" s="138">
        <f t="shared" si="15"/>
        <v>92.063999999999993</v>
      </c>
      <c r="H239" s="138">
        <v>1</v>
      </c>
      <c r="I239" s="138">
        <v>1</v>
      </c>
      <c r="J239" s="145">
        <f t="shared" si="16"/>
        <v>0.87802528179999995</v>
      </c>
      <c r="K239" s="149">
        <f t="shared" si="17"/>
        <v>79.080410469538307</v>
      </c>
    </row>
    <row r="240" spans="1:11">
      <c r="A240" s="138">
        <f t="shared" si="14"/>
        <v>1.243671</v>
      </c>
      <c r="B240" s="138">
        <v>1243.671</v>
      </c>
      <c r="C240" s="138">
        <v>92.171999999999997</v>
      </c>
      <c r="D240" s="138">
        <v>7.8280000000000003</v>
      </c>
      <c r="E240" s="138">
        <v>93.207999999999998</v>
      </c>
      <c r="F240" s="138">
        <v>6.7919999999999998</v>
      </c>
      <c r="G240" s="138">
        <f t="shared" si="15"/>
        <v>92.171999999999997</v>
      </c>
      <c r="H240" s="138">
        <v>1</v>
      </c>
      <c r="I240" s="138">
        <v>1</v>
      </c>
      <c r="J240" s="145">
        <f t="shared" si="16"/>
        <v>0.87835855629999993</v>
      </c>
      <c r="K240" s="149">
        <f t="shared" si="17"/>
        <v>79.20323144401074</v>
      </c>
    </row>
    <row r="241" spans="1:11">
      <c r="A241" s="138">
        <f t="shared" si="14"/>
        <v>1.2468350000000001</v>
      </c>
      <c r="B241" s="138">
        <v>1246.835</v>
      </c>
      <c r="C241" s="138">
        <v>92.28</v>
      </c>
      <c r="D241" s="138">
        <v>7.72</v>
      </c>
      <c r="E241" s="138">
        <v>93.298000000000002</v>
      </c>
      <c r="F241" s="138">
        <v>6.702</v>
      </c>
      <c r="G241" s="138">
        <f t="shared" si="15"/>
        <v>92.28</v>
      </c>
      <c r="H241" s="138">
        <v>1</v>
      </c>
      <c r="I241" s="138">
        <v>1</v>
      </c>
      <c r="J241" s="145">
        <f t="shared" si="16"/>
        <v>0.87869172549999996</v>
      </c>
      <c r="K241" s="149">
        <f t="shared" si="17"/>
        <v>79.326113337427671</v>
      </c>
    </row>
    <row r="242" spans="1:11">
      <c r="A242" s="138">
        <f t="shared" si="14"/>
        <v>1.25</v>
      </c>
      <c r="B242" s="138">
        <v>1250</v>
      </c>
      <c r="C242" s="138">
        <v>92.387</v>
      </c>
      <c r="D242" s="138">
        <v>7.6130000000000004</v>
      </c>
      <c r="E242" s="138">
        <v>93.388000000000005</v>
      </c>
      <c r="F242" s="138">
        <v>6.6120000000000001</v>
      </c>
      <c r="G242" s="138">
        <f t="shared" si="15"/>
        <v>92.387</v>
      </c>
      <c r="H242" s="138">
        <v>1</v>
      </c>
      <c r="I242" s="138">
        <v>1</v>
      </c>
      <c r="J242" s="145">
        <f t="shared" si="16"/>
        <v>0.87902499999999995</v>
      </c>
      <c r="K242" s="149">
        <f t="shared" si="17"/>
        <v>79.44821520095249</v>
      </c>
    </row>
    <row r="243" spans="1:11">
      <c r="A243" s="138">
        <f t="shared" si="14"/>
        <v>1.2531649999999999</v>
      </c>
      <c r="B243" s="138">
        <v>1253.165</v>
      </c>
      <c r="C243" s="138">
        <v>92.494</v>
      </c>
      <c r="D243" s="138">
        <v>7.5060000000000002</v>
      </c>
      <c r="E243" s="138">
        <v>93.477000000000004</v>
      </c>
      <c r="F243" s="138">
        <v>6.5229999999999997</v>
      </c>
      <c r="G243" s="138">
        <f t="shared" si="15"/>
        <v>92.494</v>
      </c>
      <c r="H243" s="138">
        <v>1</v>
      </c>
      <c r="I243" s="138">
        <v>1</v>
      </c>
      <c r="J243" s="145">
        <f t="shared" si="16"/>
        <v>0.87935827449999993</v>
      </c>
      <c r="K243" s="146">
        <f t="shared" ref="K243:K262" si="18">G243*H243*I243*J243*$G$2/100</f>
        <v>79.570386837560193</v>
      </c>
    </row>
    <row r="244" spans="1:11">
      <c r="A244" s="138">
        <f t="shared" si="14"/>
        <v>1.256329</v>
      </c>
      <c r="B244" s="138">
        <v>1256.329</v>
      </c>
      <c r="C244" s="138">
        <v>92.6</v>
      </c>
      <c r="D244" s="138">
        <v>7.4</v>
      </c>
      <c r="E244" s="138">
        <v>93.564999999999998</v>
      </c>
      <c r="F244" s="138">
        <v>6.4349999999999996</v>
      </c>
      <c r="G244" s="138">
        <f t="shared" si="15"/>
        <v>92.6</v>
      </c>
      <c r="H244" s="138">
        <v>1</v>
      </c>
      <c r="I244" s="138">
        <v>1</v>
      </c>
      <c r="J244" s="145">
        <f t="shared" si="16"/>
        <v>0.87969144369999996</v>
      </c>
      <c r="K244" s="146">
        <f t="shared" si="18"/>
        <v>79.691758105820341</v>
      </c>
    </row>
    <row r="245" spans="1:11">
      <c r="A245" s="138">
        <f t="shared" si="14"/>
        <v>1.2594939999999999</v>
      </c>
      <c r="B245" s="138">
        <v>1259.4939999999999</v>
      </c>
      <c r="C245" s="138">
        <v>92.706000000000003</v>
      </c>
      <c r="D245" s="138">
        <v>7.2939999999999996</v>
      </c>
      <c r="E245" s="138">
        <v>93.653000000000006</v>
      </c>
      <c r="F245" s="138">
        <v>6.3470000000000004</v>
      </c>
      <c r="G245" s="138">
        <f t="shared" si="15"/>
        <v>92.706000000000003</v>
      </c>
      <c r="H245" s="138">
        <v>1</v>
      </c>
      <c r="I245" s="138">
        <v>1</v>
      </c>
      <c r="J245" s="145">
        <f t="shared" si="16"/>
        <v>0.88002471819999994</v>
      </c>
      <c r="K245" s="146">
        <f t="shared" si="18"/>
        <v>79.813208023346945</v>
      </c>
    </row>
    <row r="246" spans="1:11">
      <c r="A246" s="138">
        <f t="shared" si="14"/>
        <v>1.2626579999999998</v>
      </c>
      <c r="B246" s="138">
        <v>1262.6579999999999</v>
      </c>
      <c r="C246" s="138">
        <v>92.811000000000007</v>
      </c>
      <c r="D246" s="138">
        <v>7.1890000000000001</v>
      </c>
      <c r="E246" s="138">
        <v>93.741</v>
      </c>
      <c r="F246" s="138">
        <v>6.2590000000000003</v>
      </c>
      <c r="G246" s="138">
        <f t="shared" si="15"/>
        <v>92.811000000000007</v>
      </c>
      <c r="H246" s="138">
        <v>1</v>
      </c>
      <c r="I246" s="138">
        <v>1</v>
      </c>
      <c r="J246" s="145">
        <f t="shared" si="16"/>
        <v>0.88035788739999998</v>
      </c>
      <c r="K246" s="146">
        <f t="shared" si="18"/>
        <v>79.933856246723067</v>
      </c>
    </row>
    <row r="247" spans="1:11">
      <c r="A247" s="138">
        <f t="shared" si="14"/>
        <v>1.2658230000000001</v>
      </c>
      <c r="B247" s="138">
        <v>1265.8230000000001</v>
      </c>
      <c r="C247" s="138">
        <v>92.915000000000006</v>
      </c>
      <c r="D247" s="138">
        <v>7.085</v>
      </c>
      <c r="E247" s="138">
        <v>93.828000000000003</v>
      </c>
      <c r="F247" s="138">
        <v>6.1719999999999997</v>
      </c>
      <c r="G247" s="138">
        <f t="shared" si="15"/>
        <v>92.915000000000006</v>
      </c>
      <c r="H247" s="138">
        <v>1</v>
      </c>
      <c r="I247" s="138">
        <v>1</v>
      </c>
      <c r="J247" s="145">
        <f t="shared" si="16"/>
        <v>0.88069116189999996</v>
      </c>
      <c r="K247" s="146">
        <f t="shared" si="18"/>
        <v>80.053720908956237</v>
      </c>
    </row>
    <row r="248" spans="1:11">
      <c r="A248" s="138">
        <f t="shared" si="14"/>
        <v>1.2689870000000001</v>
      </c>
      <c r="B248" s="138">
        <v>1268.9870000000001</v>
      </c>
      <c r="C248" s="138">
        <v>93.019000000000005</v>
      </c>
      <c r="D248" s="138">
        <v>6.9809999999999999</v>
      </c>
      <c r="E248" s="138">
        <v>93.914000000000001</v>
      </c>
      <c r="F248" s="138">
        <v>6.0860000000000003</v>
      </c>
      <c r="G248" s="138">
        <f t="shared" si="15"/>
        <v>93.019000000000005</v>
      </c>
      <c r="H248" s="138">
        <v>1</v>
      </c>
      <c r="I248" s="138">
        <v>1</v>
      </c>
      <c r="J248" s="145">
        <f t="shared" si="16"/>
        <v>0.8810243311</v>
      </c>
      <c r="K248" s="146">
        <f t="shared" si="18"/>
        <v>80.173643805666288</v>
      </c>
    </row>
    <row r="249" spans="1:11">
      <c r="A249" s="138">
        <f t="shared" si="14"/>
        <v>1.2721519999999999</v>
      </c>
      <c r="B249" s="138">
        <v>1272.152</v>
      </c>
      <c r="C249" s="138">
        <v>93.122</v>
      </c>
      <c r="D249" s="138">
        <v>6.8780000000000001</v>
      </c>
      <c r="E249" s="138">
        <v>94</v>
      </c>
      <c r="F249" s="138">
        <v>6</v>
      </c>
      <c r="G249" s="138">
        <f t="shared" si="15"/>
        <v>93.122</v>
      </c>
      <c r="H249" s="138">
        <v>1</v>
      </c>
      <c r="I249" s="138">
        <v>1</v>
      </c>
      <c r="J249" s="145">
        <f t="shared" si="16"/>
        <v>0.88135760559999998</v>
      </c>
      <c r="K249" s="146">
        <f t="shared" si="18"/>
        <v>80.29278185869677</v>
      </c>
    </row>
    <row r="250" spans="1:11">
      <c r="A250" s="138">
        <f t="shared" si="14"/>
        <v>1.2753160000000001</v>
      </c>
      <c r="B250" s="138">
        <v>1275.316</v>
      </c>
      <c r="C250" s="138">
        <v>93.224999999999994</v>
      </c>
      <c r="D250" s="138">
        <v>6.7750000000000004</v>
      </c>
      <c r="E250" s="138">
        <v>94.084999999999994</v>
      </c>
      <c r="F250" s="138">
        <v>5.915</v>
      </c>
      <c r="G250" s="138">
        <f t="shared" si="15"/>
        <v>93.224999999999994</v>
      </c>
      <c r="H250" s="138">
        <v>1</v>
      </c>
      <c r="I250" s="138">
        <v>1</v>
      </c>
      <c r="J250" s="145">
        <f t="shared" si="16"/>
        <v>0.88169077480000002</v>
      </c>
      <c r="K250" s="146">
        <f t="shared" si="18"/>
        <v>80.411977472898158</v>
      </c>
    </row>
    <row r="251" spans="1:11">
      <c r="A251" s="138">
        <f t="shared" si="14"/>
        <v>1.278481</v>
      </c>
      <c r="B251" s="138">
        <v>1278.481</v>
      </c>
      <c r="C251" s="138">
        <v>93.325999999999993</v>
      </c>
      <c r="D251" s="138">
        <v>6.6740000000000004</v>
      </c>
      <c r="E251" s="138">
        <v>94.168999999999997</v>
      </c>
      <c r="F251" s="138">
        <v>5.8310000000000004</v>
      </c>
      <c r="G251" s="138">
        <f t="shared" si="15"/>
        <v>93.325999999999993</v>
      </c>
      <c r="H251" s="138">
        <v>1</v>
      </c>
      <c r="I251" s="138">
        <v>1</v>
      </c>
      <c r="J251" s="145">
        <f t="shared" si="16"/>
        <v>0.8820240493</v>
      </c>
      <c r="K251" s="146">
        <f t="shared" si="18"/>
        <v>80.529524076549919</v>
      </c>
    </row>
    <row r="252" spans="1:11">
      <c r="A252" s="138">
        <f t="shared" si="14"/>
        <v>1.2816460000000001</v>
      </c>
      <c r="B252" s="138">
        <v>1281.646</v>
      </c>
      <c r="C252" s="138">
        <v>93.427999999999997</v>
      </c>
      <c r="D252" s="138">
        <v>6.5720000000000001</v>
      </c>
      <c r="E252" s="138">
        <v>94.253</v>
      </c>
      <c r="F252" s="138">
        <v>5.7469999999999999</v>
      </c>
      <c r="G252" s="138">
        <f t="shared" si="15"/>
        <v>93.427999999999997</v>
      </c>
      <c r="H252" s="138">
        <v>1</v>
      </c>
      <c r="I252" s="138">
        <v>1</v>
      </c>
      <c r="J252" s="145">
        <f t="shared" si="16"/>
        <v>0.88235732379999998</v>
      </c>
      <c r="K252" s="146">
        <f t="shared" si="18"/>
        <v>80.647999750945075</v>
      </c>
    </row>
    <row r="253" spans="1:11">
      <c r="A253" s="138">
        <f t="shared" si="14"/>
        <v>1.28481</v>
      </c>
      <c r="B253" s="138">
        <v>1284.81</v>
      </c>
      <c r="C253" s="138">
        <v>93.528000000000006</v>
      </c>
      <c r="D253" s="138">
        <v>6.4720000000000004</v>
      </c>
      <c r="E253" s="138">
        <v>94.335999999999999</v>
      </c>
      <c r="F253" s="138">
        <v>5.6639999999999997</v>
      </c>
      <c r="G253" s="138">
        <f t="shared" si="15"/>
        <v>93.528000000000006</v>
      </c>
      <c r="H253" s="138">
        <v>1</v>
      </c>
      <c r="I253" s="138">
        <v>1</v>
      </c>
      <c r="J253" s="145">
        <f t="shared" si="16"/>
        <v>0.88269049299999991</v>
      </c>
      <c r="K253" s="146">
        <f t="shared" si="18"/>
        <v>80.764805230788099</v>
      </c>
    </row>
    <row r="254" spans="1:11">
      <c r="A254" s="138">
        <f t="shared" si="14"/>
        <v>1.2879749999999999</v>
      </c>
      <c r="B254" s="138">
        <v>1287.9749999999999</v>
      </c>
      <c r="C254" s="138">
        <v>93.628</v>
      </c>
      <c r="D254" s="138">
        <v>6.3719999999999999</v>
      </c>
      <c r="E254" s="138">
        <v>94.418999999999997</v>
      </c>
      <c r="F254" s="138">
        <v>5.5810000000000004</v>
      </c>
      <c r="G254" s="138">
        <f t="shared" si="15"/>
        <v>93.628</v>
      </c>
      <c r="H254" s="138">
        <v>1</v>
      </c>
      <c r="I254" s="138">
        <v>1</v>
      </c>
      <c r="J254" s="145">
        <f t="shared" si="16"/>
        <v>0.88302376749999989</v>
      </c>
      <c r="K254" s="146">
        <f t="shared" si="18"/>
        <v>80.881685543604263</v>
      </c>
    </row>
    <row r="255" spans="1:11">
      <c r="A255" s="138">
        <f t="shared" si="14"/>
        <v>1.2911389999999998</v>
      </c>
      <c r="B255" s="138">
        <v>1291.1389999999999</v>
      </c>
      <c r="C255" s="138">
        <v>93.727000000000004</v>
      </c>
      <c r="D255" s="138">
        <v>6.2729999999999997</v>
      </c>
      <c r="E255" s="138">
        <v>94.501000000000005</v>
      </c>
      <c r="F255" s="138">
        <v>5.4989999999999997</v>
      </c>
      <c r="G255" s="138">
        <f t="shared" si="15"/>
        <v>93.727000000000004</v>
      </c>
      <c r="H255" s="138">
        <v>1</v>
      </c>
      <c r="I255" s="138">
        <v>1</v>
      </c>
      <c r="J255" s="145">
        <f t="shared" si="16"/>
        <v>0.88335693669999993</v>
      </c>
      <c r="K255" s="146">
        <f t="shared" si="18"/>
        <v>80.997757221428941</v>
      </c>
    </row>
    <row r="256" spans="1:11">
      <c r="A256" s="138">
        <f t="shared" si="14"/>
        <v>1.2943040000000001</v>
      </c>
      <c r="B256" s="138">
        <v>1294.3040000000001</v>
      </c>
      <c r="C256" s="138">
        <v>93.825000000000003</v>
      </c>
      <c r="D256" s="138">
        <v>6.1749999999999998</v>
      </c>
      <c r="E256" s="138">
        <v>94.581999999999994</v>
      </c>
      <c r="F256" s="138">
        <v>5.4180000000000001</v>
      </c>
      <c r="G256" s="138">
        <f t="shared" si="15"/>
        <v>93.825000000000003</v>
      </c>
      <c r="H256" s="138">
        <v>1</v>
      </c>
      <c r="I256" s="138">
        <v>1</v>
      </c>
      <c r="J256" s="145">
        <f t="shared" si="16"/>
        <v>0.88369021120000002</v>
      </c>
      <c r="K256" s="146">
        <f t="shared" si="18"/>
        <v>81.113038586611282</v>
      </c>
    </row>
    <row r="257" spans="1:11">
      <c r="A257" s="138">
        <f t="shared" si="14"/>
        <v>1.2974680000000001</v>
      </c>
      <c r="B257" s="138">
        <v>1297.4680000000001</v>
      </c>
      <c r="C257" s="138">
        <v>93.921999999999997</v>
      </c>
      <c r="D257" s="138">
        <v>6.0780000000000003</v>
      </c>
      <c r="E257" s="138">
        <v>94.662999999999997</v>
      </c>
      <c r="F257" s="138">
        <v>5.3369999999999997</v>
      </c>
      <c r="G257" s="138">
        <f t="shared" si="15"/>
        <v>93.921999999999997</v>
      </c>
      <c r="H257" s="138">
        <v>1</v>
      </c>
      <c r="I257" s="138">
        <v>1</v>
      </c>
      <c r="J257" s="145">
        <f t="shared" si="16"/>
        <v>0.88402338039999995</v>
      </c>
      <c r="K257" s="146">
        <f t="shared" si="18"/>
        <v>81.227509340562534</v>
      </c>
    </row>
    <row r="258" spans="1:11">
      <c r="A258" s="138">
        <f t="shared" si="14"/>
        <v>1.3006329999999999</v>
      </c>
      <c r="B258" s="138">
        <v>1300.633</v>
      </c>
      <c r="C258" s="138">
        <v>94.019000000000005</v>
      </c>
      <c r="D258" s="138">
        <v>5.9809999999999999</v>
      </c>
      <c r="E258" s="138">
        <v>94.742999999999995</v>
      </c>
      <c r="F258" s="138">
        <v>5.2569999999999997</v>
      </c>
      <c r="G258" s="138">
        <f t="shared" si="15"/>
        <v>94.019000000000005</v>
      </c>
      <c r="H258" s="138">
        <v>1</v>
      </c>
      <c r="I258" s="138">
        <v>1</v>
      </c>
      <c r="J258" s="145">
        <f t="shared" si="16"/>
        <v>0.88435665489999993</v>
      </c>
      <c r="K258" s="146">
        <f t="shared" si="18"/>
        <v>81.34205301212927</v>
      </c>
    </row>
    <row r="259" spans="1:11">
      <c r="A259" s="138">
        <f t="shared" si="14"/>
        <v>1.3037970000000001</v>
      </c>
      <c r="B259" s="138">
        <v>1303.797</v>
      </c>
      <c r="C259" s="138">
        <v>94.114999999999995</v>
      </c>
      <c r="D259" s="138">
        <v>5.8849999999999998</v>
      </c>
      <c r="E259" s="138">
        <v>94.822000000000003</v>
      </c>
      <c r="F259" s="138">
        <v>5.1779999999999999</v>
      </c>
      <c r="G259" s="138">
        <f t="shared" si="15"/>
        <v>94.114999999999995</v>
      </c>
      <c r="H259" s="138">
        <v>1</v>
      </c>
      <c r="I259" s="138">
        <v>1</v>
      </c>
      <c r="J259" s="145">
        <f t="shared" si="16"/>
        <v>0.88468982409999997</v>
      </c>
      <c r="K259" s="146">
        <f t="shared" si="18"/>
        <v>81.455784748516265</v>
      </c>
    </row>
    <row r="260" spans="1:11">
      <c r="A260" s="138">
        <f t="shared" si="14"/>
        <v>1.306962</v>
      </c>
      <c r="B260" s="138">
        <v>1306.962</v>
      </c>
      <c r="C260" s="138">
        <v>94.210999999999999</v>
      </c>
      <c r="D260" s="138">
        <v>5.7889999999999997</v>
      </c>
      <c r="E260" s="138">
        <v>94.900999999999996</v>
      </c>
      <c r="F260" s="138">
        <v>5.0990000000000002</v>
      </c>
      <c r="G260" s="138">
        <f t="shared" si="15"/>
        <v>94.210999999999999</v>
      </c>
      <c r="H260" s="138">
        <v>1</v>
      </c>
      <c r="I260" s="138">
        <v>1</v>
      </c>
      <c r="J260" s="145">
        <f t="shared" si="16"/>
        <v>0.88502309859999995</v>
      </c>
      <c r="K260" s="146">
        <f t="shared" si="18"/>
        <v>81.569588770418761</v>
      </c>
    </row>
    <row r="261" spans="1:11">
      <c r="A261" s="138">
        <f t="shared" si="14"/>
        <v>1.310127</v>
      </c>
      <c r="B261" s="138">
        <v>1310.127</v>
      </c>
      <c r="C261" s="138">
        <v>94.305000000000007</v>
      </c>
      <c r="D261" s="138">
        <v>5.6950000000000003</v>
      </c>
      <c r="E261" s="138">
        <v>94.978999999999999</v>
      </c>
      <c r="F261" s="138">
        <v>5.0209999999999999</v>
      </c>
      <c r="G261" s="138">
        <f t="shared" si="15"/>
        <v>94.305000000000007</v>
      </c>
      <c r="H261" s="138">
        <v>1</v>
      </c>
      <c r="I261" s="138">
        <v>1</v>
      </c>
      <c r="J261" s="145">
        <f t="shared" si="16"/>
        <v>0.88535637309999993</v>
      </c>
      <c r="K261" s="146">
        <f t="shared" si="18"/>
        <v>81.681723104190752</v>
      </c>
    </row>
    <row r="262" spans="1:11">
      <c r="A262" s="138">
        <f t="shared" ref="A262:A325" si="19">B262/1000</f>
        <v>1.313291</v>
      </c>
      <c r="B262" s="138">
        <v>1313.2909999999999</v>
      </c>
      <c r="C262" s="138">
        <v>94.399000000000001</v>
      </c>
      <c r="D262" s="138">
        <v>5.601</v>
      </c>
      <c r="E262" s="138">
        <v>95.055999999999997</v>
      </c>
      <c r="F262" s="138">
        <v>4.944</v>
      </c>
      <c r="G262" s="138">
        <f t="shared" ref="G262:G325" si="20">MIN(C262,E262)</f>
        <v>94.399000000000001</v>
      </c>
      <c r="H262" s="138">
        <v>1</v>
      </c>
      <c r="I262" s="138">
        <v>1</v>
      </c>
      <c r="J262" s="145">
        <f t="shared" ref="J262:J325" si="21">MIN(B262/1000*$M$1+$O$1,1)</f>
        <v>0.88568954229999997</v>
      </c>
      <c r="K262" s="146">
        <f t="shared" si="18"/>
        <v>81.793909009430067</v>
      </c>
    </row>
    <row r="263" spans="1:11">
      <c r="A263" s="138">
        <f t="shared" si="19"/>
        <v>1.3164559999999998</v>
      </c>
      <c r="B263" s="138">
        <v>1316.4559999999999</v>
      </c>
      <c r="C263" s="138">
        <v>94.492000000000004</v>
      </c>
      <c r="D263" s="138">
        <v>5.508</v>
      </c>
      <c r="E263" s="138">
        <v>95.132999999999996</v>
      </c>
      <c r="F263" s="138">
        <v>4.867</v>
      </c>
      <c r="G263" s="138">
        <f t="shared" si="20"/>
        <v>94.492000000000004</v>
      </c>
      <c r="H263" s="138">
        <v>1</v>
      </c>
      <c r="I263" s="138">
        <v>1</v>
      </c>
      <c r="J263" s="145">
        <f t="shared" si="21"/>
        <v>0.88602281679999995</v>
      </c>
      <c r="K263" s="146">
        <f t="shared" ref="K263:K326" si="22">G263*H263*I263*J263*$G$2/100</f>
        <v>81.905299129355669</v>
      </c>
    </row>
    <row r="264" spans="1:11">
      <c r="A264" s="138">
        <f t="shared" si="19"/>
        <v>1.3196199999999998</v>
      </c>
      <c r="B264" s="138">
        <v>1319.62</v>
      </c>
      <c r="C264" s="138">
        <v>94.584000000000003</v>
      </c>
      <c r="D264" s="138">
        <v>5.4160000000000004</v>
      </c>
      <c r="E264" s="138">
        <v>95.209000000000003</v>
      </c>
      <c r="F264" s="138">
        <v>4.7910000000000004</v>
      </c>
      <c r="G264" s="138">
        <f t="shared" si="20"/>
        <v>94.584000000000003</v>
      </c>
      <c r="H264" s="138">
        <v>1</v>
      </c>
      <c r="I264" s="138">
        <v>1</v>
      </c>
      <c r="J264" s="145">
        <f t="shared" si="21"/>
        <v>0.88635598599999987</v>
      </c>
      <c r="K264" s="146">
        <f t="shared" si="22"/>
        <v>82.015873027441813</v>
      </c>
    </row>
    <row r="265" spans="1:11">
      <c r="A265" s="138">
        <f t="shared" si="19"/>
        <v>1.3227850000000001</v>
      </c>
      <c r="B265" s="138">
        <v>1322.7850000000001</v>
      </c>
      <c r="C265" s="138">
        <v>94.676000000000002</v>
      </c>
      <c r="D265" s="138">
        <v>5.3239999999999998</v>
      </c>
      <c r="E265" s="138">
        <v>95.284000000000006</v>
      </c>
      <c r="F265" s="138">
        <v>4.7160000000000002</v>
      </c>
      <c r="G265" s="138">
        <f t="shared" si="20"/>
        <v>94.676000000000002</v>
      </c>
      <c r="H265" s="138">
        <v>1</v>
      </c>
      <c r="I265" s="138">
        <v>1</v>
      </c>
      <c r="J265" s="145">
        <f t="shared" si="21"/>
        <v>0.88668926049999996</v>
      </c>
      <c r="K265" s="146">
        <f t="shared" si="22"/>
        <v>82.126516651429952</v>
      </c>
    </row>
    <row r="266" spans="1:11">
      <c r="A266" s="138">
        <f t="shared" si="19"/>
        <v>1.325949</v>
      </c>
      <c r="B266" s="138">
        <v>1325.9490000000001</v>
      </c>
      <c r="C266" s="138">
        <v>94.766999999999996</v>
      </c>
      <c r="D266" s="138">
        <v>5.2329999999999997</v>
      </c>
      <c r="E266" s="138">
        <v>95.358999999999995</v>
      </c>
      <c r="F266" s="138">
        <v>4.641</v>
      </c>
      <c r="G266" s="138">
        <f t="shared" si="20"/>
        <v>94.766999999999996</v>
      </c>
      <c r="H266" s="138">
        <v>1</v>
      </c>
      <c r="I266" s="138">
        <v>1</v>
      </c>
      <c r="J266" s="145">
        <f t="shared" si="21"/>
        <v>0.8870224297</v>
      </c>
      <c r="K266" s="146">
        <f t="shared" si="22"/>
        <v>82.236342730660141</v>
      </c>
    </row>
    <row r="267" spans="1:11">
      <c r="A267" s="138">
        <f t="shared" si="19"/>
        <v>1.3291140000000001</v>
      </c>
      <c r="B267" s="138">
        <v>1329.114</v>
      </c>
      <c r="C267" s="138">
        <v>94.855999999999995</v>
      </c>
      <c r="D267" s="138">
        <v>5.1440000000000001</v>
      </c>
      <c r="E267" s="138">
        <v>95.433000000000007</v>
      </c>
      <c r="F267" s="138">
        <v>4.5670000000000002</v>
      </c>
      <c r="G267" s="138">
        <f t="shared" si="20"/>
        <v>94.855999999999995</v>
      </c>
      <c r="H267" s="138">
        <v>1</v>
      </c>
      <c r="I267" s="138">
        <v>1</v>
      </c>
      <c r="J267" s="145">
        <f t="shared" si="21"/>
        <v>0.88735570419999998</v>
      </c>
      <c r="K267" s="146">
        <f t="shared" si="22"/>
        <v>82.344501702491385</v>
      </c>
    </row>
    <row r="268" spans="1:11">
      <c r="A268" s="138">
        <f t="shared" si="19"/>
        <v>1.3322780000000001</v>
      </c>
      <c r="B268" s="138">
        <v>1332.278</v>
      </c>
      <c r="C268" s="138">
        <v>94.944999999999993</v>
      </c>
      <c r="D268" s="138">
        <v>5.0549999999999997</v>
      </c>
      <c r="E268" s="138">
        <v>95.506</v>
      </c>
      <c r="F268" s="138">
        <v>4.4939999999999998</v>
      </c>
      <c r="G268" s="138">
        <f t="shared" si="20"/>
        <v>94.944999999999993</v>
      </c>
      <c r="H268" s="138">
        <v>1</v>
      </c>
      <c r="I268" s="138">
        <v>1</v>
      </c>
      <c r="J268" s="145">
        <f t="shared" si="21"/>
        <v>0.88768887339999991</v>
      </c>
      <c r="K268" s="146">
        <f t="shared" si="22"/>
        <v>82.452708929119296</v>
      </c>
    </row>
    <row r="269" spans="1:11">
      <c r="A269" s="138">
        <f t="shared" si="19"/>
        <v>1.3354429999999999</v>
      </c>
      <c r="B269" s="138">
        <v>1335.443</v>
      </c>
      <c r="C269" s="138">
        <v>95.034000000000006</v>
      </c>
      <c r="D269" s="138">
        <v>4.9660000000000002</v>
      </c>
      <c r="E269" s="138">
        <v>95.578000000000003</v>
      </c>
      <c r="F269" s="138">
        <v>4.4219999999999997</v>
      </c>
      <c r="G269" s="138">
        <f t="shared" si="20"/>
        <v>95.034000000000006</v>
      </c>
      <c r="H269" s="138">
        <v>1</v>
      </c>
      <c r="I269" s="138">
        <v>1</v>
      </c>
      <c r="J269" s="145">
        <f t="shared" si="21"/>
        <v>0.88802214789999989</v>
      </c>
      <c r="K269" s="146">
        <f t="shared" si="22"/>
        <v>82.560983962892024</v>
      </c>
    </row>
    <row r="270" spans="1:11">
      <c r="A270" s="138">
        <f t="shared" si="19"/>
        <v>1.338608</v>
      </c>
      <c r="B270" s="138">
        <v>1338.6079999999999</v>
      </c>
      <c r="C270" s="138">
        <v>95.120999999999995</v>
      </c>
      <c r="D270" s="138">
        <v>4.8789999999999996</v>
      </c>
      <c r="E270" s="138">
        <v>95.65</v>
      </c>
      <c r="F270" s="138">
        <v>4.3499999999999996</v>
      </c>
      <c r="G270" s="138">
        <f t="shared" si="20"/>
        <v>95.120999999999995</v>
      </c>
      <c r="H270" s="138">
        <v>1</v>
      </c>
      <c r="I270" s="138">
        <v>1</v>
      </c>
      <c r="J270" s="145">
        <f t="shared" si="21"/>
        <v>0.88835542239999998</v>
      </c>
      <c r="K270" s="146">
        <f t="shared" si="22"/>
        <v>82.667578876000192</v>
      </c>
    </row>
    <row r="271" spans="1:11">
      <c r="A271" s="138">
        <f t="shared" si="19"/>
        <v>1.341772</v>
      </c>
      <c r="B271" s="138">
        <v>1341.7719999999999</v>
      </c>
      <c r="C271" s="138">
        <v>95.207999999999998</v>
      </c>
      <c r="D271" s="138">
        <v>4.7919999999999998</v>
      </c>
      <c r="E271" s="138">
        <v>95.721000000000004</v>
      </c>
      <c r="F271" s="138">
        <v>4.2789999999999999</v>
      </c>
      <c r="G271" s="138">
        <f t="shared" si="20"/>
        <v>95.207999999999998</v>
      </c>
      <c r="H271" s="138">
        <v>1</v>
      </c>
      <c r="I271" s="138">
        <v>1</v>
      </c>
      <c r="J271" s="145">
        <f t="shared" si="21"/>
        <v>0.88868859160000002</v>
      </c>
      <c r="K271" s="146">
        <f t="shared" si="22"/>
        <v>82.774220712642361</v>
      </c>
    </row>
    <row r="272" spans="1:11">
      <c r="A272" s="138">
        <f t="shared" si="19"/>
        <v>1.3449369999999998</v>
      </c>
      <c r="B272" s="138">
        <v>1344.9369999999999</v>
      </c>
      <c r="C272" s="138">
        <v>95.293999999999997</v>
      </c>
      <c r="D272" s="138">
        <v>4.7060000000000004</v>
      </c>
      <c r="E272" s="138">
        <v>95.790999999999997</v>
      </c>
      <c r="F272" s="138">
        <v>4.2089999999999996</v>
      </c>
      <c r="G272" s="138">
        <f t="shared" si="20"/>
        <v>95.293999999999997</v>
      </c>
      <c r="H272" s="138">
        <v>1</v>
      </c>
      <c r="I272" s="138">
        <v>1</v>
      </c>
      <c r="J272" s="145">
        <f t="shared" si="21"/>
        <v>0.8890218661</v>
      </c>
      <c r="K272" s="146">
        <f t="shared" si="22"/>
        <v>82.880059349466904</v>
      </c>
    </row>
    <row r="273" spans="1:11">
      <c r="A273" s="138">
        <f t="shared" si="19"/>
        <v>1.3481010000000002</v>
      </c>
      <c r="B273" s="138">
        <v>1348.1010000000001</v>
      </c>
      <c r="C273" s="138">
        <v>95.379000000000005</v>
      </c>
      <c r="D273" s="138">
        <v>4.6210000000000004</v>
      </c>
      <c r="E273" s="138">
        <v>95.861000000000004</v>
      </c>
      <c r="F273" s="138">
        <v>4.1390000000000002</v>
      </c>
      <c r="G273" s="138">
        <f t="shared" si="20"/>
        <v>95.379000000000005</v>
      </c>
      <c r="H273" s="138">
        <v>1</v>
      </c>
      <c r="I273" s="138">
        <v>1</v>
      </c>
      <c r="J273" s="145">
        <f t="shared" si="21"/>
        <v>0.88935503529999993</v>
      </c>
      <c r="K273" s="146">
        <f t="shared" si="22"/>
        <v>82.985074183990932</v>
      </c>
    </row>
    <row r="274" spans="1:11">
      <c r="A274" s="138">
        <f t="shared" si="19"/>
        <v>1.3512660000000001</v>
      </c>
      <c r="B274" s="138">
        <v>1351.2660000000001</v>
      </c>
      <c r="C274" s="138">
        <v>95.462999999999994</v>
      </c>
      <c r="D274" s="138">
        <v>4.5369999999999999</v>
      </c>
      <c r="E274" s="138">
        <v>95.93</v>
      </c>
      <c r="F274" s="138">
        <v>4.07</v>
      </c>
      <c r="G274" s="138">
        <f t="shared" si="20"/>
        <v>95.462999999999994</v>
      </c>
      <c r="H274" s="138">
        <v>1</v>
      </c>
      <c r="I274" s="138">
        <v>1</v>
      </c>
      <c r="J274" s="145">
        <f t="shared" si="21"/>
        <v>0.88968830979999991</v>
      </c>
      <c r="K274" s="146">
        <f t="shared" si="22"/>
        <v>83.08928388036729</v>
      </c>
    </row>
    <row r="275" spans="1:11">
      <c r="A275" s="138">
        <f t="shared" si="19"/>
        <v>1.35443</v>
      </c>
      <c r="B275" s="138">
        <v>1354.43</v>
      </c>
      <c r="C275" s="138">
        <v>95.546000000000006</v>
      </c>
      <c r="D275" s="138">
        <v>4.4539999999999997</v>
      </c>
      <c r="E275" s="138">
        <v>95.998000000000005</v>
      </c>
      <c r="F275" s="138">
        <v>4.0019999999999998</v>
      </c>
      <c r="G275" s="138">
        <f t="shared" si="20"/>
        <v>95.546000000000006</v>
      </c>
      <c r="H275" s="138">
        <v>1</v>
      </c>
      <c r="I275" s="138">
        <v>1</v>
      </c>
      <c r="J275" s="145">
        <f t="shared" si="21"/>
        <v>0.89002147899999995</v>
      </c>
      <c r="K275" s="146">
        <f t="shared" si="22"/>
        <v>83.192667801088007</v>
      </c>
    </row>
    <row r="276" spans="1:11">
      <c r="A276" s="138">
        <f t="shared" si="19"/>
        <v>1.3575950000000001</v>
      </c>
      <c r="B276" s="138">
        <v>1357.595</v>
      </c>
      <c r="C276" s="138">
        <v>95.629000000000005</v>
      </c>
      <c r="D276" s="138">
        <v>4.3710000000000004</v>
      </c>
      <c r="E276" s="138">
        <v>96.064999999999998</v>
      </c>
      <c r="F276" s="138">
        <v>3.9350000000000001</v>
      </c>
      <c r="G276" s="138">
        <f t="shared" si="20"/>
        <v>95.629000000000005</v>
      </c>
      <c r="H276" s="138">
        <v>1</v>
      </c>
      <c r="I276" s="138">
        <v>1</v>
      </c>
      <c r="J276" s="145">
        <f t="shared" si="21"/>
        <v>0.89035475350000004</v>
      </c>
      <c r="K276" s="146">
        <f t="shared" si="22"/>
        <v>83.296115678974317</v>
      </c>
    </row>
    <row r="277" spans="1:11">
      <c r="A277" s="138">
        <f t="shared" si="19"/>
        <v>1.3607590000000001</v>
      </c>
      <c r="B277" s="138">
        <v>1360.759</v>
      </c>
      <c r="C277" s="138">
        <v>95.71</v>
      </c>
      <c r="D277" s="138">
        <v>4.29</v>
      </c>
      <c r="E277" s="138">
        <v>96.132000000000005</v>
      </c>
      <c r="F277" s="138">
        <v>3.8679999999999999</v>
      </c>
      <c r="G277" s="138">
        <f t="shared" si="20"/>
        <v>95.71</v>
      </c>
      <c r="H277" s="138">
        <v>1</v>
      </c>
      <c r="I277" s="138">
        <v>1</v>
      </c>
      <c r="J277" s="145">
        <f t="shared" si="21"/>
        <v>0.89068792269999997</v>
      </c>
      <c r="K277" s="146">
        <f t="shared" si="22"/>
        <v>83.397865100145907</v>
      </c>
    </row>
    <row r="278" spans="1:11">
      <c r="A278" s="138">
        <f t="shared" si="19"/>
        <v>1.3639239999999999</v>
      </c>
      <c r="B278" s="138">
        <v>1363.924</v>
      </c>
      <c r="C278" s="138">
        <v>95.790999999999997</v>
      </c>
      <c r="D278" s="138">
        <v>4.2089999999999996</v>
      </c>
      <c r="E278" s="138">
        <v>96.197999999999993</v>
      </c>
      <c r="F278" s="138">
        <v>3.802</v>
      </c>
      <c r="G278" s="138">
        <f t="shared" si="20"/>
        <v>95.790999999999997</v>
      </c>
      <c r="H278" s="138">
        <v>1</v>
      </c>
      <c r="I278" s="138">
        <v>1</v>
      </c>
      <c r="J278" s="145">
        <f t="shared" si="21"/>
        <v>0.89102119719999995</v>
      </c>
      <c r="K278" s="146">
        <f t="shared" si="22"/>
        <v>83.499677191413809</v>
      </c>
    </row>
    <row r="279" spans="1:11">
      <c r="A279" s="138">
        <f t="shared" si="19"/>
        <v>1.367089</v>
      </c>
      <c r="B279" s="138">
        <v>1367.0889999999999</v>
      </c>
      <c r="C279" s="138">
        <v>95.870999999999995</v>
      </c>
      <c r="D279" s="138">
        <v>4.1289999999999996</v>
      </c>
      <c r="E279" s="138">
        <v>96.263000000000005</v>
      </c>
      <c r="F279" s="138">
        <v>3.7370000000000001</v>
      </c>
      <c r="G279" s="138">
        <f t="shared" si="20"/>
        <v>95.870999999999995</v>
      </c>
      <c r="H279" s="138">
        <v>1</v>
      </c>
      <c r="I279" s="138">
        <v>1</v>
      </c>
      <c r="J279" s="145">
        <f t="shared" si="21"/>
        <v>0.89135447169999993</v>
      </c>
      <c r="K279" s="146">
        <f t="shared" si="22"/>
        <v>83.600670089477887</v>
      </c>
    </row>
    <row r="280" spans="1:11">
      <c r="A280" s="138">
        <f t="shared" si="19"/>
        <v>1.3702529999999999</v>
      </c>
      <c r="B280" s="138">
        <v>1370.2529999999999</v>
      </c>
      <c r="C280" s="138">
        <v>95.95</v>
      </c>
      <c r="D280" s="138">
        <v>4.05</v>
      </c>
      <c r="E280" s="138">
        <v>96.326999999999998</v>
      </c>
      <c r="F280" s="138">
        <v>3.673</v>
      </c>
      <c r="G280" s="138">
        <f t="shared" si="20"/>
        <v>95.95</v>
      </c>
      <c r="H280" s="138">
        <v>1</v>
      </c>
      <c r="I280" s="138">
        <v>1</v>
      </c>
      <c r="J280" s="145">
        <f t="shared" si="21"/>
        <v>0.89168764089999997</v>
      </c>
      <c r="K280" s="146">
        <f t="shared" si="22"/>
        <v>83.700832931922491</v>
      </c>
    </row>
    <row r="281" spans="1:11">
      <c r="A281" s="138">
        <f t="shared" si="19"/>
        <v>1.3734179999999998</v>
      </c>
      <c r="B281" s="138">
        <v>1373.4179999999999</v>
      </c>
      <c r="C281" s="138">
        <v>96.028000000000006</v>
      </c>
      <c r="D281" s="138">
        <v>3.972</v>
      </c>
      <c r="E281" s="138">
        <v>96.391000000000005</v>
      </c>
      <c r="F281" s="138">
        <v>3.609</v>
      </c>
      <c r="G281" s="138">
        <f t="shared" si="20"/>
        <v>96.028000000000006</v>
      </c>
      <c r="H281" s="138">
        <v>1</v>
      </c>
      <c r="I281" s="138">
        <v>1</v>
      </c>
      <c r="J281" s="145">
        <f t="shared" si="21"/>
        <v>0.89202091539999995</v>
      </c>
      <c r="K281" s="146">
        <f t="shared" si="22"/>
        <v>83.800184501161723</v>
      </c>
    </row>
    <row r="282" spans="1:11">
      <c r="A282" s="138">
        <f t="shared" si="19"/>
        <v>1.3765820000000002</v>
      </c>
      <c r="B282" s="138">
        <v>1376.5820000000001</v>
      </c>
      <c r="C282" s="138">
        <v>96.105999999999995</v>
      </c>
      <c r="D282" s="138">
        <v>3.8940000000000001</v>
      </c>
      <c r="E282" s="138">
        <v>96.453999999999994</v>
      </c>
      <c r="F282" s="138">
        <v>3.5459999999999998</v>
      </c>
      <c r="G282" s="138">
        <f t="shared" si="20"/>
        <v>96.105999999999995</v>
      </c>
      <c r="H282" s="138">
        <v>1</v>
      </c>
      <c r="I282" s="138">
        <v>1</v>
      </c>
      <c r="J282" s="145">
        <f t="shared" si="21"/>
        <v>0.89235408459999999</v>
      </c>
      <c r="K282" s="146">
        <f t="shared" si="22"/>
        <v>83.899577032663473</v>
      </c>
    </row>
    <row r="283" spans="1:11">
      <c r="A283" s="138">
        <f t="shared" si="19"/>
        <v>1.3797470000000001</v>
      </c>
      <c r="B283" s="138">
        <v>1379.7470000000001</v>
      </c>
      <c r="C283" s="138">
        <v>96.182000000000002</v>
      </c>
      <c r="D283" s="138">
        <v>3.8180000000000001</v>
      </c>
      <c r="E283" s="138">
        <v>96.516000000000005</v>
      </c>
      <c r="F283" s="138">
        <v>3.484</v>
      </c>
      <c r="G283" s="138">
        <f t="shared" si="20"/>
        <v>96.182000000000002</v>
      </c>
      <c r="H283" s="138">
        <v>1</v>
      </c>
      <c r="I283" s="138">
        <v>1</v>
      </c>
      <c r="J283" s="145">
        <f t="shared" si="21"/>
        <v>0.89268735909999997</v>
      </c>
      <c r="K283" s="146">
        <f t="shared" si="22"/>
        <v>83.997283687023042</v>
      </c>
    </row>
    <row r="284" spans="1:11">
      <c r="A284" s="138">
        <f t="shared" si="19"/>
        <v>1.382911</v>
      </c>
      <c r="B284" s="138">
        <v>1382.9110000000001</v>
      </c>
      <c r="C284" s="138">
        <v>96.257999999999996</v>
      </c>
      <c r="D284" s="138">
        <v>3.742</v>
      </c>
      <c r="E284" s="138">
        <v>96.578000000000003</v>
      </c>
      <c r="F284" s="138">
        <v>3.4220000000000002</v>
      </c>
      <c r="G284" s="138">
        <f t="shared" si="20"/>
        <v>96.257999999999996</v>
      </c>
      <c r="H284" s="138">
        <v>1</v>
      </c>
      <c r="I284" s="138">
        <v>1</v>
      </c>
      <c r="J284" s="145">
        <f t="shared" si="21"/>
        <v>0.89302052829999989</v>
      </c>
      <c r="K284" s="146">
        <f t="shared" si="22"/>
        <v>84.095029983817071</v>
      </c>
    </row>
    <row r="285" spans="1:11">
      <c r="A285" s="138">
        <f t="shared" si="19"/>
        <v>1.3860760000000001</v>
      </c>
      <c r="B285" s="138">
        <v>1386.076</v>
      </c>
      <c r="C285" s="138">
        <v>96.332999999999998</v>
      </c>
      <c r="D285" s="138">
        <v>3.6669999999999998</v>
      </c>
      <c r="E285" s="138">
        <v>96.638000000000005</v>
      </c>
      <c r="F285" s="138">
        <v>3.3620000000000001</v>
      </c>
      <c r="G285" s="138">
        <f t="shared" si="20"/>
        <v>96.332999999999998</v>
      </c>
      <c r="H285" s="138">
        <v>1</v>
      </c>
      <c r="I285" s="138">
        <v>1</v>
      </c>
      <c r="J285" s="145">
        <f t="shared" si="21"/>
        <v>0.89335380279999999</v>
      </c>
      <c r="K285" s="146">
        <f t="shared" si="22"/>
        <v>84.191961779225025</v>
      </c>
    </row>
    <row r="286" spans="1:11">
      <c r="A286" s="138">
        <f t="shared" si="19"/>
        <v>1.3892409999999999</v>
      </c>
      <c r="B286" s="138">
        <v>1389.241</v>
      </c>
      <c r="C286" s="138">
        <v>96.406999999999996</v>
      </c>
      <c r="D286" s="138">
        <v>3.593</v>
      </c>
      <c r="E286" s="138">
        <v>96.697999999999993</v>
      </c>
      <c r="F286" s="138">
        <v>3.302</v>
      </c>
      <c r="G286" s="138">
        <f t="shared" si="20"/>
        <v>96.406999999999996</v>
      </c>
      <c r="H286" s="138">
        <v>1</v>
      </c>
      <c r="I286" s="138">
        <v>1</v>
      </c>
      <c r="J286" s="145">
        <f t="shared" si="21"/>
        <v>0.89368707729999997</v>
      </c>
      <c r="K286" s="146">
        <f t="shared" si="22"/>
        <v>84.288068186931724</v>
      </c>
    </row>
    <row r="287" spans="1:11">
      <c r="A287" s="138">
        <f t="shared" si="19"/>
        <v>1.3924049999999999</v>
      </c>
      <c r="B287" s="138">
        <v>1392.405</v>
      </c>
      <c r="C287" s="138">
        <v>96.48</v>
      </c>
      <c r="D287" s="138">
        <v>3.52</v>
      </c>
      <c r="E287" s="138">
        <v>96.757000000000005</v>
      </c>
      <c r="F287" s="138">
        <v>3.2429999999999999</v>
      </c>
      <c r="G287" s="138">
        <f t="shared" si="20"/>
        <v>96.48</v>
      </c>
      <c r="H287" s="138">
        <v>1</v>
      </c>
      <c r="I287" s="138">
        <v>1</v>
      </c>
      <c r="J287" s="145">
        <f t="shared" si="21"/>
        <v>0.8940202465</v>
      </c>
      <c r="K287" s="146">
        <f t="shared" si="22"/>
        <v>84.383338289923671</v>
      </c>
    </row>
    <row r="288" spans="1:11">
      <c r="A288" s="138">
        <f t="shared" si="19"/>
        <v>1.39557</v>
      </c>
      <c r="B288" s="138">
        <v>1395.57</v>
      </c>
      <c r="C288" s="138">
        <v>96.552000000000007</v>
      </c>
      <c r="D288" s="138">
        <v>3.448</v>
      </c>
      <c r="E288" s="138">
        <v>96.816000000000003</v>
      </c>
      <c r="F288" s="138">
        <v>3.1840000000000002</v>
      </c>
      <c r="G288" s="138">
        <f t="shared" si="20"/>
        <v>96.552000000000007</v>
      </c>
      <c r="H288" s="138">
        <v>1</v>
      </c>
      <c r="I288" s="138">
        <v>1</v>
      </c>
      <c r="J288" s="145">
        <f t="shared" si="21"/>
        <v>0.89435352099999998</v>
      </c>
      <c r="K288" s="146">
        <f t="shared" si="22"/>
        <v>84.47779098042885</v>
      </c>
    </row>
    <row r="289" spans="1:11">
      <c r="A289" s="138">
        <f t="shared" si="19"/>
        <v>1.3987339999999999</v>
      </c>
      <c r="B289" s="138">
        <v>1398.7339999999999</v>
      </c>
      <c r="C289" s="138">
        <v>96.623000000000005</v>
      </c>
      <c r="D289" s="138">
        <v>3.3769999999999998</v>
      </c>
      <c r="E289" s="138">
        <v>96.873999999999995</v>
      </c>
      <c r="F289" s="138">
        <v>3.1259999999999999</v>
      </c>
      <c r="G289" s="138">
        <f t="shared" si="20"/>
        <v>96.623000000000005</v>
      </c>
      <c r="H289" s="138">
        <v>1</v>
      </c>
      <c r="I289" s="138">
        <v>1</v>
      </c>
      <c r="J289" s="145">
        <f t="shared" si="21"/>
        <v>0.89468669019999991</v>
      </c>
      <c r="K289" s="146">
        <f t="shared" si="22"/>
        <v>84.571405395336484</v>
      </c>
    </row>
    <row r="290" spans="1:11">
      <c r="A290" s="138">
        <f t="shared" si="19"/>
        <v>1.4018989999999998</v>
      </c>
      <c r="B290" s="138">
        <v>1401.8989999999999</v>
      </c>
      <c r="C290" s="138">
        <v>96.694000000000003</v>
      </c>
      <c r="D290" s="138">
        <v>3.306</v>
      </c>
      <c r="E290" s="138">
        <v>96.930999999999997</v>
      </c>
      <c r="F290" s="138">
        <v>3.069</v>
      </c>
      <c r="G290" s="138">
        <f t="shared" si="20"/>
        <v>96.694000000000003</v>
      </c>
      <c r="H290" s="138">
        <v>1</v>
      </c>
      <c r="I290" s="138">
        <v>1</v>
      </c>
      <c r="J290" s="145">
        <f t="shared" si="21"/>
        <v>0.89501996469999989</v>
      </c>
      <c r="K290" s="146">
        <f t="shared" si="22"/>
        <v>84.665076054574371</v>
      </c>
    </row>
    <row r="291" spans="1:11">
      <c r="A291" s="138">
        <f t="shared" si="19"/>
        <v>1.4050630000000002</v>
      </c>
      <c r="B291" s="138">
        <v>1405.0630000000001</v>
      </c>
      <c r="C291" s="138">
        <v>96.763000000000005</v>
      </c>
      <c r="D291" s="138">
        <v>3.2370000000000001</v>
      </c>
      <c r="E291" s="138">
        <v>96.986999999999995</v>
      </c>
      <c r="F291" s="138">
        <v>3.0129999999999999</v>
      </c>
      <c r="G291" s="138">
        <f t="shared" si="20"/>
        <v>96.763000000000005</v>
      </c>
      <c r="H291" s="138">
        <v>1</v>
      </c>
      <c r="I291" s="138">
        <v>1</v>
      </c>
      <c r="J291" s="145">
        <f t="shared" si="21"/>
        <v>0.89535313390000004</v>
      </c>
      <c r="K291" s="146">
        <f t="shared" si="22"/>
        <v>84.757031195651919</v>
      </c>
    </row>
    <row r="292" spans="1:11">
      <c r="A292" s="138">
        <f t="shared" si="19"/>
        <v>1.408228</v>
      </c>
      <c r="B292" s="138">
        <v>1408.2280000000001</v>
      </c>
      <c r="C292" s="138">
        <v>96.831999999999994</v>
      </c>
      <c r="D292" s="138">
        <v>3.1680000000000001</v>
      </c>
      <c r="E292" s="138">
        <v>97.042000000000002</v>
      </c>
      <c r="F292" s="138">
        <v>2.9580000000000002</v>
      </c>
      <c r="G292" s="138">
        <f t="shared" si="20"/>
        <v>96.831999999999994</v>
      </c>
      <c r="H292" s="138">
        <v>1</v>
      </c>
      <c r="I292" s="138">
        <v>1</v>
      </c>
      <c r="J292" s="145">
        <f t="shared" si="21"/>
        <v>0.89568640840000002</v>
      </c>
      <c r="K292" s="146">
        <f t="shared" si="22"/>
        <v>84.849041291518091</v>
      </c>
    </row>
    <row r="293" spans="1:11">
      <c r="A293" s="138">
        <f t="shared" si="19"/>
        <v>1.411392</v>
      </c>
      <c r="B293" s="138">
        <v>1411.3920000000001</v>
      </c>
      <c r="C293" s="138">
        <v>96.9</v>
      </c>
      <c r="D293" s="138">
        <v>3.1</v>
      </c>
      <c r="E293" s="138">
        <v>97.096999999999994</v>
      </c>
      <c r="F293" s="138">
        <v>2.903</v>
      </c>
      <c r="G293" s="138">
        <f t="shared" si="20"/>
        <v>96.9</v>
      </c>
      <c r="H293" s="138">
        <v>1</v>
      </c>
      <c r="I293" s="138">
        <v>1</v>
      </c>
      <c r="J293" s="145">
        <f t="shared" si="21"/>
        <v>0.89601957759999995</v>
      </c>
      <c r="K293" s="146">
        <f t="shared" si="22"/>
        <v>84.940209823033172</v>
      </c>
    </row>
    <row r="294" spans="1:11">
      <c r="A294" s="138">
        <f t="shared" si="19"/>
        <v>1.4145570000000001</v>
      </c>
      <c r="B294" s="138">
        <v>1414.557</v>
      </c>
      <c r="C294" s="138">
        <v>96.966999999999999</v>
      </c>
      <c r="D294" s="138">
        <v>3.0329999999999999</v>
      </c>
      <c r="E294" s="138">
        <v>97.150999999999996</v>
      </c>
      <c r="F294" s="138">
        <v>2.8490000000000002</v>
      </c>
      <c r="G294" s="138">
        <f t="shared" si="20"/>
        <v>96.966999999999999</v>
      </c>
      <c r="H294" s="138">
        <v>1</v>
      </c>
      <c r="I294" s="138">
        <v>1</v>
      </c>
      <c r="J294" s="145">
        <f t="shared" si="21"/>
        <v>0.89635285209999993</v>
      </c>
      <c r="K294" s="146">
        <f t="shared" si="22"/>
        <v>85.03055576947277</v>
      </c>
    </row>
    <row r="295" spans="1:11">
      <c r="A295" s="138">
        <f t="shared" si="19"/>
        <v>1.4177219999999999</v>
      </c>
      <c r="B295" s="138">
        <v>1417.722</v>
      </c>
      <c r="C295" s="138">
        <v>97.033000000000001</v>
      </c>
      <c r="D295" s="138">
        <v>2.9670000000000001</v>
      </c>
      <c r="E295" s="138">
        <v>97.203999999999994</v>
      </c>
      <c r="F295" s="138">
        <v>2.7959999999999998</v>
      </c>
      <c r="G295" s="138">
        <f t="shared" si="20"/>
        <v>97.033000000000001</v>
      </c>
      <c r="H295" s="138">
        <v>1</v>
      </c>
      <c r="I295" s="138">
        <v>1</v>
      </c>
      <c r="J295" s="145">
        <f t="shared" si="21"/>
        <v>0.89668612659999991</v>
      </c>
      <c r="K295" s="146">
        <f t="shared" si="22"/>
        <v>85.120068177562189</v>
      </c>
    </row>
    <row r="296" spans="1:11">
      <c r="A296" s="138">
        <f t="shared" si="19"/>
        <v>1.4208859999999999</v>
      </c>
      <c r="B296" s="138">
        <v>1420.886</v>
      </c>
      <c r="C296" s="138">
        <v>97.097999999999999</v>
      </c>
      <c r="D296" s="138">
        <v>2.9020000000000001</v>
      </c>
      <c r="E296" s="138">
        <v>97.257000000000005</v>
      </c>
      <c r="F296" s="138">
        <v>2.7429999999999999</v>
      </c>
      <c r="G296" s="138">
        <f t="shared" si="20"/>
        <v>97.097999999999999</v>
      </c>
      <c r="H296" s="138">
        <v>1</v>
      </c>
      <c r="I296" s="138">
        <v>1</v>
      </c>
      <c r="J296" s="145">
        <f t="shared" si="21"/>
        <v>0.89701929579999995</v>
      </c>
      <c r="K296" s="146">
        <f t="shared" si="22"/>
        <v>85.208736066624539</v>
      </c>
    </row>
    <row r="297" spans="1:11">
      <c r="A297" s="138">
        <f t="shared" si="19"/>
        <v>1.424051</v>
      </c>
      <c r="B297" s="138">
        <v>1424.0509999999999</v>
      </c>
      <c r="C297" s="138">
        <v>97.162000000000006</v>
      </c>
      <c r="D297" s="138">
        <v>2.8380000000000001</v>
      </c>
      <c r="E297" s="138">
        <v>97.308999999999997</v>
      </c>
      <c r="F297" s="138">
        <v>2.6909999999999998</v>
      </c>
      <c r="G297" s="138">
        <f t="shared" si="20"/>
        <v>97.162000000000006</v>
      </c>
      <c r="H297" s="138">
        <v>1</v>
      </c>
      <c r="I297" s="138">
        <v>1</v>
      </c>
      <c r="J297" s="145">
        <f t="shared" si="21"/>
        <v>0.89735257029999993</v>
      </c>
      <c r="K297" s="146">
        <f t="shared" si="22"/>
        <v>85.296578457038507</v>
      </c>
    </row>
    <row r="298" spans="1:11">
      <c r="A298" s="138">
        <f t="shared" si="19"/>
        <v>1.4272149999999999</v>
      </c>
      <c r="B298" s="138">
        <v>1427.2149999999999</v>
      </c>
      <c r="C298" s="138">
        <v>97.225999999999999</v>
      </c>
      <c r="D298" s="138">
        <v>2.774</v>
      </c>
      <c r="E298" s="138">
        <v>97.36</v>
      </c>
      <c r="F298" s="138">
        <v>2.64</v>
      </c>
      <c r="G298" s="138">
        <f t="shared" si="20"/>
        <v>97.225999999999999</v>
      </c>
      <c r="H298" s="138">
        <v>1</v>
      </c>
      <c r="I298" s="138">
        <v>1</v>
      </c>
      <c r="J298" s="145">
        <f t="shared" si="21"/>
        <v>0.89768573949999997</v>
      </c>
      <c r="K298" s="146">
        <f t="shared" si="22"/>
        <v>85.384452565149786</v>
      </c>
    </row>
    <row r="299" spans="1:11">
      <c r="A299" s="138">
        <f t="shared" si="19"/>
        <v>1.4303800000000002</v>
      </c>
      <c r="B299" s="138">
        <v>1430.38</v>
      </c>
      <c r="C299" s="138">
        <v>97.289000000000001</v>
      </c>
      <c r="D299" s="138">
        <v>2.7109999999999999</v>
      </c>
      <c r="E299" s="138">
        <v>97.41</v>
      </c>
      <c r="F299" s="138">
        <v>2.59</v>
      </c>
      <c r="G299" s="138">
        <f t="shared" si="20"/>
        <v>97.289000000000001</v>
      </c>
      <c r="H299" s="138">
        <v>1</v>
      </c>
      <c r="I299" s="138">
        <v>1</v>
      </c>
      <c r="J299" s="145">
        <f t="shared" si="21"/>
        <v>0.89801901399999995</v>
      </c>
      <c r="K299" s="146">
        <f t="shared" si="22"/>
        <v>85.471499883834895</v>
      </c>
    </row>
    <row r="300" spans="1:11">
      <c r="A300" s="138">
        <f t="shared" si="19"/>
        <v>1.4335440000000002</v>
      </c>
      <c r="B300" s="138">
        <v>1433.5440000000001</v>
      </c>
      <c r="C300" s="138">
        <v>97.35</v>
      </c>
      <c r="D300" s="138">
        <v>2.65</v>
      </c>
      <c r="E300" s="138">
        <v>97.46</v>
      </c>
      <c r="F300" s="138">
        <v>2.54</v>
      </c>
      <c r="G300" s="138">
        <f t="shared" si="20"/>
        <v>97.35</v>
      </c>
      <c r="H300" s="138">
        <v>1</v>
      </c>
      <c r="I300" s="138">
        <v>1</v>
      </c>
      <c r="J300" s="145">
        <f t="shared" si="21"/>
        <v>0.89835218319999999</v>
      </c>
      <c r="K300" s="146">
        <f t="shared" si="22"/>
        <v>85.556820539270902</v>
      </c>
    </row>
    <row r="301" spans="1:11">
      <c r="A301" s="138">
        <f t="shared" si="19"/>
        <v>1.436709</v>
      </c>
      <c r="B301" s="138">
        <v>1436.7090000000001</v>
      </c>
      <c r="C301" s="138">
        <v>97.411000000000001</v>
      </c>
      <c r="D301" s="138">
        <v>2.589</v>
      </c>
      <c r="E301" s="138">
        <v>97.509</v>
      </c>
      <c r="F301" s="138">
        <v>2.4910000000000001</v>
      </c>
      <c r="G301" s="138">
        <f t="shared" si="20"/>
        <v>97.411000000000001</v>
      </c>
      <c r="H301" s="138">
        <v>1</v>
      </c>
      <c r="I301" s="138">
        <v>1</v>
      </c>
      <c r="J301" s="145">
        <f t="shared" si="21"/>
        <v>0.89868545769999997</v>
      </c>
      <c r="K301" s="146">
        <f t="shared" si="22"/>
        <v>85.642190994110393</v>
      </c>
    </row>
    <row r="302" spans="1:11">
      <c r="A302" s="138">
        <f t="shared" si="19"/>
        <v>1.439873</v>
      </c>
      <c r="B302" s="138">
        <v>1439.873</v>
      </c>
      <c r="C302" s="138">
        <v>97.471000000000004</v>
      </c>
      <c r="D302" s="138">
        <v>2.5289999999999999</v>
      </c>
      <c r="E302" s="138">
        <v>97.557000000000002</v>
      </c>
      <c r="F302" s="138">
        <v>2.4430000000000001</v>
      </c>
      <c r="G302" s="138">
        <f t="shared" si="20"/>
        <v>97.471000000000004</v>
      </c>
      <c r="H302" s="138">
        <v>1</v>
      </c>
      <c r="I302" s="138">
        <v>1</v>
      </c>
      <c r="J302" s="145">
        <f t="shared" si="21"/>
        <v>0.89901862690000001</v>
      </c>
      <c r="K302" s="146">
        <f t="shared" si="22"/>
        <v>85.726711675128129</v>
      </c>
    </row>
    <row r="303" spans="1:11">
      <c r="A303" s="138">
        <f t="shared" si="19"/>
        <v>1.443038</v>
      </c>
      <c r="B303" s="138">
        <v>1443.038</v>
      </c>
      <c r="C303" s="138">
        <v>97.53</v>
      </c>
      <c r="D303" s="138">
        <v>2.4700000000000002</v>
      </c>
      <c r="E303" s="138">
        <v>97.603999999999999</v>
      </c>
      <c r="F303" s="138">
        <v>2.3959999999999999</v>
      </c>
      <c r="G303" s="138">
        <f t="shared" si="20"/>
        <v>97.53</v>
      </c>
      <c r="H303" s="138">
        <v>1</v>
      </c>
      <c r="I303" s="138">
        <v>1</v>
      </c>
      <c r="J303" s="145">
        <f t="shared" si="21"/>
        <v>0.89935190139999999</v>
      </c>
      <c r="K303" s="146">
        <f t="shared" si="22"/>
        <v>85.81040168006713</v>
      </c>
    </row>
    <row r="304" spans="1:11">
      <c r="A304" s="138">
        <f t="shared" si="19"/>
        <v>1.4462029999999999</v>
      </c>
      <c r="B304" s="138">
        <v>1446.203</v>
      </c>
      <c r="C304" s="138">
        <v>97.588999999999999</v>
      </c>
      <c r="D304" s="138">
        <v>2.411</v>
      </c>
      <c r="E304" s="138">
        <v>97.650999999999996</v>
      </c>
      <c r="F304" s="138">
        <v>2.3490000000000002</v>
      </c>
      <c r="G304" s="138">
        <f t="shared" si="20"/>
        <v>97.588999999999999</v>
      </c>
      <c r="H304" s="138">
        <v>1</v>
      </c>
      <c r="I304" s="138">
        <v>1</v>
      </c>
      <c r="J304" s="145">
        <f t="shared" si="21"/>
        <v>0.89968517589999997</v>
      </c>
      <c r="K304" s="146">
        <f t="shared" si="22"/>
        <v>85.894130158014448</v>
      </c>
    </row>
    <row r="305" spans="1:11">
      <c r="A305" s="138">
        <f t="shared" si="19"/>
        <v>1.4493670000000001</v>
      </c>
      <c r="B305" s="138">
        <v>1449.367</v>
      </c>
      <c r="C305" s="138">
        <v>97.646000000000001</v>
      </c>
      <c r="D305" s="138">
        <v>2.3540000000000001</v>
      </c>
      <c r="E305" s="138">
        <v>97.697000000000003</v>
      </c>
      <c r="F305" s="138">
        <v>2.3029999999999999</v>
      </c>
      <c r="G305" s="138">
        <f t="shared" si="20"/>
        <v>97.646000000000001</v>
      </c>
      <c r="H305" s="138">
        <v>1</v>
      </c>
      <c r="I305" s="138">
        <v>1</v>
      </c>
      <c r="J305" s="145">
        <f t="shared" si="21"/>
        <v>0.90001834510000001</v>
      </c>
      <c r="K305" s="146">
        <f t="shared" si="22"/>
        <v>85.976126073868329</v>
      </c>
    </row>
    <row r="306" spans="1:11">
      <c r="A306" s="138">
        <f t="shared" si="19"/>
        <v>1.4525319999999999</v>
      </c>
      <c r="B306" s="138">
        <v>1452.5319999999999</v>
      </c>
      <c r="C306" s="138">
        <v>97.703000000000003</v>
      </c>
      <c r="D306" s="138">
        <v>2.2970000000000002</v>
      </c>
      <c r="E306" s="138">
        <v>97.742000000000004</v>
      </c>
      <c r="F306" s="138">
        <v>2.258</v>
      </c>
      <c r="G306" s="138">
        <f t="shared" si="20"/>
        <v>97.703000000000003</v>
      </c>
      <c r="H306" s="138">
        <v>1</v>
      </c>
      <c r="I306" s="138">
        <v>1</v>
      </c>
      <c r="J306" s="145">
        <f t="shared" si="21"/>
        <v>0.90035161959999999</v>
      </c>
      <c r="K306" s="146">
        <f t="shared" si="22"/>
        <v>86.058169211690597</v>
      </c>
    </row>
    <row r="307" spans="1:11">
      <c r="A307" s="138">
        <f t="shared" si="19"/>
        <v>1.4556959999999999</v>
      </c>
      <c r="B307" s="138">
        <v>1455.6959999999999</v>
      </c>
      <c r="C307" s="138">
        <v>97.757999999999996</v>
      </c>
      <c r="D307" s="138">
        <v>2.242</v>
      </c>
      <c r="E307" s="138">
        <v>97.786000000000001</v>
      </c>
      <c r="F307" s="138">
        <v>2.214</v>
      </c>
      <c r="G307" s="138">
        <f t="shared" si="20"/>
        <v>97.757999999999996</v>
      </c>
      <c r="H307" s="138">
        <v>1</v>
      </c>
      <c r="I307" s="138">
        <v>1</v>
      </c>
      <c r="J307" s="145">
        <f t="shared" si="21"/>
        <v>0.90068478879999991</v>
      </c>
      <c r="K307" s="146">
        <f t="shared" si="22"/>
        <v>86.138477167748206</v>
      </c>
    </row>
    <row r="308" spans="1:11">
      <c r="A308" s="138">
        <f t="shared" si="19"/>
        <v>1.4588610000000002</v>
      </c>
      <c r="B308" s="138">
        <v>1458.8610000000001</v>
      </c>
      <c r="C308" s="138">
        <v>97.813000000000002</v>
      </c>
      <c r="D308" s="138">
        <v>2.1869999999999998</v>
      </c>
      <c r="E308" s="138">
        <v>97.83</v>
      </c>
      <c r="F308" s="138">
        <v>2.17</v>
      </c>
      <c r="G308" s="138">
        <f t="shared" si="20"/>
        <v>97.813000000000002</v>
      </c>
      <c r="H308" s="138">
        <v>1</v>
      </c>
      <c r="I308" s="138">
        <v>1</v>
      </c>
      <c r="J308" s="145">
        <f t="shared" si="21"/>
        <v>0.90101806330000001</v>
      </c>
      <c r="K308" s="146">
        <f t="shared" si="22"/>
        <v>86.218831053348183</v>
      </c>
    </row>
    <row r="309" spans="1:11">
      <c r="A309" s="138">
        <f t="shared" si="19"/>
        <v>1.4620250000000001</v>
      </c>
      <c r="B309" s="138">
        <v>1462.0250000000001</v>
      </c>
      <c r="C309" s="138">
        <v>97.867000000000004</v>
      </c>
      <c r="D309" s="138">
        <v>2.133</v>
      </c>
      <c r="E309" s="138">
        <v>97.873000000000005</v>
      </c>
      <c r="F309" s="138">
        <v>2.1269999999999998</v>
      </c>
      <c r="G309" s="138">
        <f t="shared" si="20"/>
        <v>97.867000000000004</v>
      </c>
      <c r="H309" s="138">
        <v>1</v>
      </c>
      <c r="I309" s="138">
        <v>1</v>
      </c>
      <c r="J309" s="145">
        <f t="shared" si="21"/>
        <v>0.90135123249999993</v>
      </c>
      <c r="K309" s="146">
        <f t="shared" si="22"/>
        <v>86.298328929835122</v>
      </c>
    </row>
    <row r="310" spans="1:11">
      <c r="A310" s="138">
        <f t="shared" si="19"/>
        <v>1.46519</v>
      </c>
      <c r="B310" s="138">
        <v>1465.19</v>
      </c>
      <c r="C310" s="138">
        <v>97.92</v>
      </c>
      <c r="D310" s="138">
        <v>2.08</v>
      </c>
      <c r="E310" s="138">
        <v>97.915000000000006</v>
      </c>
      <c r="F310" s="138">
        <v>2.085</v>
      </c>
      <c r="G310" s="138">
        <f t="shared" si="20"/>
        <v>97.915000000000006</v>
      </c>
      <c r="H310" s="138">
        <v>1</v>
      </c>
      <c r="I310" s="138">
        <v>1</v>
      </c>
      <c r="J310" s="145">
        <f t="shared" si="21"/>
        <v>0.90168450699999991</v>
      </c>
      <c r="K310" s="146">
        <f t="shared" si="22"/>
        <v>86.372579387391966</v>
      </c>
    </row>
    <row r="311" spans="1:11">
      <c r="A311" s="138">
        <f t="shared" si="19"/>
        <v>1.4683539999999999</v>
      </c>
      <c r="B311" s="138">
        <v>1468.354</v>
      </c>
      <c r="C311" s="138">
        <v>97.972999999999999</v>
      </c>
      <c r="D311" s="138">
        <v>2.0270000000000001</v>
      </c>
      <c r="E311" s="138">
        <v>97.956999999999994</v>
      </c>
      <c r="F311" s="138">
        <v>2.0430000000000001</v>
      </c>
      <c r="G311" s="138">
        <f t="shared" si="20"/>
        <v>97.956999999999994</v>
      </c>
      <c r="H311" s="138">
        <v>1</v>
      </c>
      <c r="I311" s="138">
        <v>1</v>
      </c>
      <c r="J311" s="145">
        <f t="shared" si="21"/>
        <v>0.90201767619999995</v>
      </c>
      <c r="K311" s="146">
        <f t="shared" si="22"/>
        <v>86.441556390010135</v>
      </c>
    </row>
    <row r="312" spans="1:11">
      <c r="A312" s="138">
        <f t="shared" si="19"/>
        <v>1.471519</v>
      </c>
      <c r="B312" s="138">
        <v>1471.519</v>
      </c>
      <c r="C312" s="138">
        <v>98.024000000000001</v>
      </c>
      <c r="D312" s="138">
        <v>1.976</v>
      </c>
      <c r="E312" s="138">
        <v>97.998000000000005</v>
      </c>
      <c r="F312" s="138">
        <v>2.0019999999999998</v>
      </c>
      <c r="G312" s="138">
        <f t="shared" si="20"/>
        <v>97.998000000000005</v>
      </c>
      <c r="H312" s="138">
        <v>1</v>
      </c>
      <c r="I312" s="138">
        <v>1</v>
      </c>
      <c r="J312" s="145">
        <f t="shared" si="21"/>
        <v>0.90235095069999993</v>
      </c>
      <c r="K312" s="146">
        <f t="shared" si="22"/>
        <v>86.509688096971246</v>
      </c>
    </row>
    <row r="313" spans="1:11">
      <c r="A313" s="138">
        <f t="shared" si="19"/>
        <v>1.4746839999999999</v>
      </c>
      <c r="B313" s="138">
        <v>1474.684</v>
      </c>
      <c r="C313" s="138">
        <v>98.075000000000003</v>
      </c>
      <c r="D313" s="138">
        <v>1.925</v>
      </c>
      <c r="E313" s="138">
        <v>98.037999999999997</v>
      </c>
      <c r="F313" s="138">
        <v>1.962</v>
      </c>
      <c r="G313" s="138">
        <f t="shared" si="20"/>
        <v>98.037999999999997</v>
      </c>
      <c r="H313" s="138">
        <v>1</v>
      </c>
      <c r="I313" s="138">
        <v>1</v>
      </c>
      <c r="J313" s="145">
        <f t="shared" si="21"/>
        <v>0.90268422519999991</v>
      </c>
      <c r="K313" s="146">
        <f t="shared" si="22"/>
        <v>86.576963443435176</v>
      </c>
    </row>
    <row r="314" spans="1:11">
      <c r="A314" s="138">
        <f t="shared" si="19"/>
        <v>1.4778480000000001</v>
      </c>
      <c r="B314" s="138">
        <v>1477.848</v>
      </c>
      <c r="C314" s="138">
        <v>98.123999999999995</v>
      </c>
      <c r="D314" s="138">
        <v>1.8759999999999999</v>
      </c>
      <c r="E314" s="138">
        <v>98.076999999999998</v>
      </c>
      <c r="F314" s="138">
        <v>1.923</v>
      </c>
      <c r="G314" s="138">
        <f t="shared" si="20"/>
        <v>98.076999999999998</v>
      </c>
      <c r="H314" s="138">
        <v>1</v>
      </c>
      <c r="I314" s="138">
        <v>1</v>
      </c>
      <c r="J314" s="145">
        <f t="shared" si="21"/>
        <v>0.90301739439999995</v>
      </c>
      <c r="K314" s="146">
        <f t="shared" si="22"/>
        <v>86.643371347873455</v>
      </c>
    </row>
    <row r="315" spans="1:11">
      <c r="A315" s="138">
        <f t="shared" si="19"/>
        <v>1.4810129999999999</v>
      </c>
      <c r="B315" s="138">
        <v>1481.0129999999999</v>
      </c>
      <c r="C315" s="138">
        <v>98.173000000000002</v>
      </c>
      <c r="D315" s="138">
        <v>1.827</v>
      </c>
      <c r="E315" s="138">
        <v>98.116</v>
      </c>
      <c r="F315" s="138">
        <v>1.8839999999999999</v>
      </c>
      <c r="G315" s="138">
        <f t="shared" si="20"/>
        <v>98.116</v>
      </c>
      <c r="H315" s="138">
        <v>1</v>
      </c>
      <c r="I315" s="138">
        <v>1</v>
      </c>
      <c r="J315" s="145">
        <f t="shared" si="21"/>
        <v>0.90335066889999993</v>
      </c>
      <c r="K315" s="146">
        <f t="shared" si="22"/>
        <v>86.709814783005896</v>
      </c>
    </row>
    <row r="316" spans="1:11">
      <c r="A316" s="138">
        <f t="shared" si="19"/>
        <v>1.4841769999999999</v>
      </c>
      <c r="B316" s="138">
        <v>1484.1769999999999</v>
      </c>
      <c r="C316" s="138">
        <v>98.221000000000004</v>
      </c>
      <c r="D316" s="138">
        <v>1.7789999999999999</v>
      </c>
      <c r="E316" s="138">
        <v>98.153999999999996</v>
      </c>
      <c r="F316" s="138">
        <v>1.8460000000000001</v>
      </c>
      <c r="G316" s="138">
        <f t="shared" si="20"/>
        <v>98.153999999999996</v>
      </c>
      <c r="H316" s="138">
        <v>1</v>
      </c>
      <c r="I316" s="138">
        <v>1</v>
      </c>
      <c r="J316" s="145">
        <f t="shared" si="21"/>
        <v>0.90368383809999997</v>
      </c>
      <c r="K316" s="146">
        <f t="shared" si="22"/>
        <v>86.775389464113758</v>
      </c>
    </row>
    <row r="317" spans="1:11">
      <c r="A317" s="138">
        <f t="shared" si="19"/>
        <v>1.4873420000000002</v>
      </c>
      <c r="B317" s="138">
        <v>1487.3420000000001</v>
      </c>
      <c r="C317" s="138">
        <v>98.269000000000005</v>
      </c>
      <c r="D317" s="138">
        <v>1.7310000000000001</v>
      </c>
      <c r="E317" s="138">
        <v>98.191000000000003</v>
      </c>
      <c r="F317" s="138">
        <v>1.8089999999999999</v>
      </c>
      <c r="G317" s="138">
        <f t="shared" si="20"/>
        <v>98.191000000000003</v>
      </c>
      <c r="H317" s="138">
        <v>1</v>
      </c>
      <c r="I317" s="138">
        <v>1</v>
      </c>
      <c r="J317" s="145">
        <f t="shared" si="21"/>
        <v>0.90401711259999995</v>
      </c>
      <c r="K317" s="146">
        <f t="shared" si="22"/>
        <v>86.840114631924848</v>
      </c>
    </row>
    <row r="318" spans="1:11">
      <c r="A318" s="138">
        <f t="shared" si="19"/>
        <v>1.4905060000000001</v>
      </c>
      <c r="B318" s="138">
        <v>1490.5060000000001</v>
      </c>
      <c r="C318" s="138">
        <v>98.314999999999998</v>
      </c>
      <c r="D318" s="138">
        <v>1.6850000000000001</v>
      </c>
      <c r="E318" s="138">
        <v>98.227999999999994</v>
      </c>
      <c r="F318" s="138">
        <v>1.772</v>
      </c>
      <c r="G318" s="138">
        <f t="shared" si="20"/>
        <v>98.227999999999994</v>
      </c>
      <c r="H318" s="138">
        <v>1</v>
      </c>
      <c r="I318" s="138">
        <v>1</v>
      </c>
      <c r="J318" s="145">
        <f t="shared" si="21"/>
        <v>0.90435028179999999</v>
      </c>
      <c r="K318" s="146">
        <f t="shared" si="22"/>
        <v>86.904853807920276</v>
      </c>
    </row>
    <row r="319" spans="1:11">
      <c r="A319" s="138">
        <f t="shared" si="19"/>
        <v>1.493671</v>
      </c>
      <c r="B319" s="138">
        <v>1493.671</v>
      </c>
      <c r="C319" s="138">
        <v>98.361000000000004</v>
      </c>
      <c r="D319" s="138">
        <v>1.639</v>
      </c>
      <c r="E319" s="138">
        <v>98.263999999999996</v>
      </c>
      <c r="F319" s="138">
        <v>1.736</v>
      </c>
      <c r="G319" s="138">
        <f t="shared" si="20"/>
        <v>98.263999999999996</v>
      </c>
      <c r="H319" s="138">
        <v>1</v>
      </c>
      <c r="I319" s="138">
        <v>1</v>
      </c>
      <c r="J319" s="145">
        <f t="shared" si="21"/>
        <v>0.90468355629999997</v>
      </c>
      <c r="K319" s="146">
        <f t="shared" si="22"/>
        <v>86.96874217427829</v>
      </c>
    </row>
    <row r="320" spans="1:11">
      <c r="A320" s="138">
        <f t="shared" si="19"/>
        <v>1.4968350000000001</v>
      </c>
      <c r="B320" s="138">
        <v>1496.835</v>
      </c>
      <c r="C320" s="138">
        <v>98.405000000000001</v>
      </c>
      <c r="D320" s="138">
        <v>1.595</v>
      </c>
      <c r="E320" s="138">
        <v>98.299000000000007</v>
      </c>
      <c r="F320" s="138">
        <v>1.7010000000000001</v>
      </c>
      <c r="G320" s="138">
        <f t="shared" si="20"/>
        <v>98.299000000000007</v>
      </c>
      <c r="H320" s="138">
        <v>1</v>
      </c>
      <c r="I320" s="138">
        <v>1</v>
      </c>
      <c r="J320" s="145">
        <f t="shared" si="21"/>
        <v>0.90501672550000001</v>
      </c>
      <c r="K320" s="146">
        <f t="shared" si="22"/>
        <v>87.031758511456133</v>
      </c>
    </row>
    <row r="321" spans="1:11">
      <c r="A321" s="138">
        <f t="shared" si="19"/>
        <v>1.5</v>
      </c>
      <c r="B321" s="138">
        <v>1500</v>
      </c>
      <c r="C321" s="138">
        <v>98.448999999999998</v>
      </c>
      <c r="D321" s="138">
        <v>1.5509999999999999</v>
      </c>
      <c r="E321" s="138">
        <v>98.334000000000003</v>
      </c>
      <c r="F321" s="138">
        <v>1.6659999999999999</v>
      </c>
      <c r="G321" s="138">
        <f t="shared" si="20"/>
        <v>98.334000000000003</v>
      </c>
      <c r="H321" s="138">
        <v>1</v>
      </c>
      <c r="I321" s="138">
        <v>1</v>
      </c>
      <c r="J321" s="145">
        <f t="shared" si="21"/>
        <v>0.90534999999999999</v>
      </c>
      <c r="K321" s="146">
        <f t="shared" si="22"/>
        <v>87.094807794269997</v>
      </c>
    </row>
    <row r="322" spans="1:11">
      <c r="A322" s="138">
        <f t="shared" si="19"/>
        <v>1.5031649999999999</v>
      </c>
      <c r="B322" s="138">
        <v>1503.165</v>
      </c>
      <c r="C322" s="138">
        <v>98.492999999999995</v>
      </c>
      <c r="D322" s="138">
        <v>1.5069999999999999</v>
      </c>
      <c r="E322" s="138">
        <v>98.367999999999995</v>
      </c>
      <c r="F322" s="138">
        <v>1.6319999999999999</v>
      </c>
      <c r="G322" s="138">
        <f t="shared" si="20"/>
        <v>98.367999999999995</v>
      </c>
      <c r="H322" s="138">
        <v>1</v>
      </c>
      <c r="I322" s="138">
        <v>1</v>
      </c>
      <c r="J322" s="145">
        <f t="shared" si="21"/>
        <v>0.90568327449999997</v>
      </c>
      <c r="K322" s="146">
        <f t="shared" si="22"/>
        <v>87.156993870107442</v>
      </c>
    </row>
    <row r="323" spans="1:11">
      <c r="A323" s="138">
        <f t="shared" si="19"/>
        <v>1.506329</v>
      </c>
      <c r="B323" s="138">
        <v>1506.329</v>
      </c>
      <c r="C323" s="138">
        <v>98.534999999999997</v>
      </c>
      <c r="D323" s="138">
        <v>1.4650000000000001</v>
      </c>
      <c r="E323" s="138">
        <v>98.400999999999996</v>
      </c>
      <c r="F323" s="138">
        <v>1.599</v>
      </c>
      <c r="G323" s="138">
        <f t="shared" si="20"/>
        <v>98.400999999999996</v>
      </c>
      <c r="H323" s="138">
        <v>1</v>
      </c>
      <c r="I323" s="138">
        <v>1</v>
      </c>
      <c r="J323" s="145">
        <f t="shared" si="21"/>
        <v>0.90601644370000001</v>
      </c>
      <c r="K323" s="146">
        <f t="shared" si="22"/>
        <v>87.218305624063134</v>
      </c>
    </row>
    <row r="324" spans="1:11">
      <c r="A324" s="138">
        <f t="shared" si="19"/>
        <v>1.5094939999999999</v>
      </c>
      <c r="B324" s="138">
        <v>1509.4939999999999</v>
      </c>
      <c r="C324" s="138">
        <v>98.575999999999993</v>
      </c>
      <c r="D324" s="138">
        <v>1.4239999999999999</v>
      </c>
      <c r="E324" s="138">
        <v>98.433000000000007</v>
      </c>
      <c r="F324" s="138">
        <v>1.5669999999999999</v>
      </c>
      <c r="G324" s="138">
        <f t="shared" si="20"/>
        <v>98.433000000000007</v>
      </c>
      <c r="H324" s="138">
        <v>1</v>
      </c>
      <c r="I324" s="138">
        <v>1</v>
      </c>
      <c r="J324" s="145">
        <f t="shared" si="21"/>
        <v>0.90634971819999999</v>
      </c>
      <c r="K324" s="146">
        <f t="shared" si="22"/>
        <v>87.278762348269296</v>
      </c>
    </row>
    <row r="325" spans="1:11">
      <c r="A325" s="138">
        <f t="shared" si="19"/>
        <v>1.5126579999999998</v>
      </c>
      <c r="B325" s="138">
        <v>1512.6579999999999</v>
      </c>
      <c r="C325" s="138">
        <v>98.617000000000004</v>
      </c>
      <c r="D325" s="138">
        <v>1.383</v>
      </c>
      <c r="E325" s="138">
        <v>98.465000000000003</v>
      </c>
      <c r="F325" s="138">
        <v>1.5349999999999999</v>
      </c>
      <c r="G325" s="138">
        <f t="shared" si="20"/>
        <v>98.465000000000003</v>
      </c>
      <c r="H325" s="138">
        <v>1</v>
      </c>
      <c r="I325" s="138">
        <v>1</v>
      </c>
      <c r="J325" s="145">
        <f t="shared" si="21"/>
        <v>0.90668288739999991</v>
      </c>
      <c r="K325" s="146">
        <f t="shared" si="22"/>
        <v>87.339229795820827</v>
      </c>
    </row>
    <row r="326" spans="1:11">
      <c r="A326" s="138">
        <f t="shared" ref="A326:A389" si="23">B326/1000</f>
        <v>1.5158230000000001</v>
      </c>
      <c r="B326" s="138">
        <v>1515.8230000000001</v>
      </c>
      <c r="C326" s="138">
        <v>98.656999999999996</v>
      </c>
      <c r="D326" s="138">
        <v>1.343</v>
      </c>
      <c r="E326" s="138">
        <v>98.495999999999995</v>
      </c>
      <c r="F326" s="138">
        <v>1.504</v>
      </c>
      <c r="G326" s="138">
        <f t="shared" ref="G326:G389" si="24">MIN(C326,E326)</f>
        <v>98.495999999999995</v>
      </c>
      <c r="H326" s="138">
        <v>1</v>
      </c>
      <c r="I326" s="138">
        <v>1</v>
      </c>
      <c r="J326" s="145">
        <f t="shared" ref="J326:J389" si="25">MIN(B326/1000*$M$1+$O$1,1)</f>
        <v>0.90701616190000001</v>
      </c>
      <c r="K326" s="146">
        <f t="shared" si="22"/>
        <v>87.398840916252084</v>
      </c>
    </row>
    <row r="327" spans="1:11">
      <c r="A327" s="138">
        <f t="shared" si="23"/>
        <v>1.5189870000000001</v>
      </c>
      <c r="B327" s="138">
        <v>1518.9870000000001</v>
      </c>
      <c r="C327" s="138">
        <v>98.695999999999998</v>
      </c>
      <c r="D327" s="138">
        <v>1.304</v>
      </c>
      <c r="E327" s="138">
        <v>98.527000000000001</v>
      </c>
      <c r="F327" s="138">
        <v>1.4730000000000001</v>
      </c>
      <c r="G327" s="138">
        <f t="shared" si="24"/>
        <v>98.527000000000001</v>
      </c>
      <c r="H327" s="138">
        <v>1</v>
      </c>
      <c r="I327" s="138">
        <v>1</v>
      </c>
      <c r="J327" s="145">
        <f t="shared" si="25"/>
        <v>0.90734933109999993</v>
      </c>
      <c r="K327" s="146">
        <f t="shared" ref="K327:K390" si="26">G327*H327*I327*J327*$G$2/100</f>
        <v>87.458462101556904</v>
      </c>
    </row>
    <row r="328" spans="1:11">
      <c r="A328" s="138">
        <f t="shared" si="23"/>
        <v>1.5221519999999999</v>
      </c>
      <c r="B328" s="138">
        <v>1522.152</v>
      </c>
      <c r="C328" s="138">
        <v>98.733999999999995</v>
      </c>
      <c r="D328" s="138">
        <v>1.266</v>
      </c>
      <c r="E328" s="138">
        <v>98.557000000000002</v>
      </c>
      <c r="F328" s="138">
        <v>1.4430000000000001</v>
      </c>
      <c r="G328" s="138">
        <f t="shared" si="24"/>
        <v>98.557000000000002</v>
      </c>
      <c r="H328" s="138">
        <v>1</v>
      </c>
      <c r="I328" s="138">
        <v>1</v>
      </c>
      <c r="J328" s="145">
        <f t="shared" si="25"/>
        <v>0.90768260559999991</v>
      </c>
      <c r="K328" s="146">
        <f t="shared" si="26"/>
        <v>87.51722566216462</v>
      </c>
    </row>
    <row r="329" spans="1:11">
      <c r="A329" s="138">
        <f t="shared" si="23"/>
        <v>1.5253160000000001</v>
      </c>
      <c r="B329" s="138">
        <v>1525.316</v>
      </c>
      <c r="C329" s="138">
        <v>98.772000000000006</v>
      </c>
      <c r="D329" s="138">
        <v>1.228</v>
      </c>
      <c r="E329" s="138">
        <v>98.585999999999999</v>
      </c>
      <c r="F329" s="138">
        <v>1.4139999999999999</v>
      </c>
      <c r="G329" s="138">
        <f t="shared" si="24"/>
        <v>98.585999999999999</v>
      </c>
      <c r="H329" s="138">
        <v>1</v>
      </c>
      <c r="I329" s="138">
        <v>1</v>
      </c>
      <c r="J329" s="145">
        <f t="shared" si="25"/>
        <v>0.90801577479999995</v>
      </c>
      <c r="K329" s="146">
        <f t="shared" si="26"/>
        <v>87.575110317547612</v>
      </c>
    </row>
    <row r="330" spans="1:11">
      <c r="A330" s="138">
        <f t="shared" si="23"/>
        <v>1.528481</v>
      </c>
      <c r="B330" s="138">
        <v>1528.481</v>
      </c>
      <c r="C330" s="138">
        <v>98.808999999999997</v>
      </c>
      <c r="D330" s="138">
        <v>1.1910000000000001</v>
      </c>
      <c r="E330" s="138">
        <v>98.614000000000004</v>
      </c>
      <c r="F330" s="138">
        <v>1.3859999999999999</v>
      </c>
      <c r="G330" s="138">
        <f t="shared" si="24"/>
        <v>98.614000000000004</v>
      </c>
      <c r="H330" s="138">
        <v>1</v>
      </c>
      <c r="I330" s="138">
        <v>1</v>
      </c>
      <c r="J330" s="145">
        <f t="shared" si="25"/>
        <v>0.90834904929999993</v>
      </c>
      <c r="K330" s="146">
        <f t="shared" si="26"/>
        <v>87.632135398365747</v>
      </c>
    </row>
    <row r="331" spans="1:11">
      <c r="A331" s="138">
        <f t="shared" si="23"/>
        <v>1.5316460000000001</v>
      </c>
      <c r="B331" s="138">
        <v>1531.646</v>
      </c>
      <c r="C331" s="138">
        <v>98.843999999999994</v>
      </c>
      <c r="D331" s="138">
        <v>1.1559999999999999</v>
      </c>
      <c r="E331" s="138">
        <v>98.641999999999996</v>
      </c>
      <c r="F331" s="138">
        <v>1.3580000000000001</v>
      </c>
      <c r="G331" s="138">
        <f t="shared" si="24"/>
        <v>98.641999999999996</v>
      </c>
      <c r="H331" s="138">
        <v>1</v>
      </c>
      <c r="I331" s="138">
        <v>1</v>
      </c>
      <c r="J331" s="145">
        <f t="shared" si="25"/>
        <v>0.90868232379999991</v>
      </c>
      <c r="K331" s="146">
        <f t="shared" si="26"/>
        <v>87.689178737560709</v>
      </c>
    </row>
    <row r="332" spans="1:11">
      <c r="A332" s="138">
        <f t="shared" si="23"/>
        <v>1.53481</v>
      </c>
      <c r="B332" s="138">
        <v>1534.81</v>
      </c>
      <c r="C332" s="138">
        <v>98.88</v>
      </c>
      <c r="D332" s="138">
        <v>1.1200000000000001</v>
      </c>
      <c r="E332" s="138">
        <v>98.67</v>
      </c>
      <c r="F332" s="138">
        <v>1.33</v>
      </c>
      <c r="G332" s="138">
        <f t="shared" si="24"/>
        <v>98.67</v>
      </c>
      <c r="H332" s="138">
        <v>1</v>
      </c>
      <c r="I332" s="138">
        <v>1</v>
      </c>
      <c r="J332" s="145">
        <f t="shared" si="25"/>
        <v>0.90901549299999995</v>
      </c>
      <c r="K332" s="146">
        <f t="shared" si="26"/>
        <v>87.746230170643472</v>
      </c>
    </row>
    <row r="333" spans="1:11">
      <c r="A333" s="138">
        <f t="shared" si="23"/>
        <v>1.5379749999999999</v>
      </c>
      <c r="B333" s="138">
        <v>1537.9749999999999</v>
      </c>
      <c r="C333" s="138">
        <v>98.914000000000001</v>
      </c>
      <c r="D333" s="138">
        <v>1.0860000000000001</v>
      </c>
      <c r="E333" s="138">
        <v>98.695999999999998</v>
      </c>
      <c r="F333" s="138">
        <v>1.304</v>
      </c>
      <c r="G333" s="138">
        <f t="shared" si="24"/>
        <v>98.695999999999998</v>
      </c>
      <c r="H333" s="138">
        <v>1</v>
      </c>
      <c r="I333" s="138">
        <v>1</v>
      </c>
      <c r="J333" s="145">
        <f t="shared" si="25"/>
        <v>0.90934876749999993</v>
      </c>
      <c r="K333" s="146">
        <f t="shared" si="26"/>
        <v>87.801530791909173</v>
      </c>
    </row>
    <row r="334" spans="1:11">
      <c r="A334" s="138">
        <f t="shared" si="23"/>
        <v>1.5411389999999998</v>
      </c>
      <c r="B334" s="138">
        <v>1541.1389999999999</v>
      </c>
      <c r="C334" s="138">
        <v>98.947999999999993</v>
      </c>
      <c r="D334" s="138">
        <v>1.052</v>
      </c>
      <c r="E334" s="138">
        <v>98.721999999999994</v>
      </c>
      <c r="F334" s="138">
        <v>1.278</v>
      </c>
      <c r="G334" s="138">
        <f t="shared" si="24"/>
        <v>98.721999999999994</v>
      </c>
      <c r="H334" s="138">
        <v>1</v>
      </c>
      <c r="I334" s="138">
        <v>1</v>
      </c>
      <c r="J334" s="145">
        <f t="shared" si="25"/>
        <v>0.90968193669999997</v>
      </c>
      <c r="K334" s="146">
        <f t="shared" si="26"/>
        <v>87.856838197536121</v>
      </c>
    </row>
    <row r="335" spans="1:11">
      <c r="A335" s="138">
        <f t="shared" si="23"/>
        <v>1.5443040000000001</v>
      </c>
      <c r="B335" s="138">
        <v>1544.3040000000001</v>
      </c>
      <c r="C335" s="138">
        <v>98.98</v>
      </c>
      <c r="D335" s="138">
        <v>1.02</v>
      </c>
      <c r="E335" s="138">
        <v>98.747</v>
      </c>
      <c r="F335" s="138">
        <v>1.2529999999999999</v>
      </c>
      <c r="G335" s="138">
        <f t="shared" si="24"/>
        <v>98.747</v>
      </c>
      <c r="H335" s="138">
        <v>1</v>
      </c>
      <c r="I335" s="138">
        <v>1</v>
      </c>
      <c r="J335" s="145">
        <f t="shared" si="25"/>
        <v>0.91001521119999995</v>
      </c>
      <c r="K335" s="146">
        <f t="shared" si="26"/>
        <v>87.911282456656451</v>
      </c>
    </row>
    <row r="336" spans="1:11">
      <c r="A336" s="138">
        <f t="shared" si="23"/>
        <v>1.5474680000000001</v>
      </c>
      <c r="B336" s="138">
        <v>1547.4680000000001</v>
      </c>
      <c r="C336" s="138">
        <v>99.012</v>
      </c>
      <c r="D336" s="138">
        <v>0.98799999999999999</v>
      </c>
      <c r="E336" s="138">
        <v>98.772000000000006</v>
      </c>
      <c r="F336" s="138">
        <v>1.228</v>
      </c>
      <c r="G336" s="138">
        <f t="shared" si="24"/>
        <v>98.772000000000006</v>
      </c>
      <c r="H336" s="138">
        <v>1</v>
      </c>
      <c r="I336" s="138">
        <v>1</v>
      </c>
      <c r="J336" s="145">
        <f t="shared" si="25"/>
        <v>0.91034838039999999</v>
      </c>
      <c r="K336" s="146">
        <f t="shared" si="26"/>
        <v>87.965732842902341</v>
      </c>
    </row>
    <row r="337" spans="1:11">
      <c r="A337" s="138">
        <f t="shared" si="23"/>
        <v>1.5506329999999999</v>
      </c>
      <c r="B337" s="138">
        <v>1550.633</v>
      </c>
      <c r="C337" s="138">
        <v>99.043999999999997</v>
      </c>
      <c r="D337" s="138">
        <v>0.95599999999999996</v>
      </c>
      <c r="E337" s="138">
        <v>98.796000000000006</v>
      </c>
      <c r="F337" s="138">
        <v>1.204</v>
      </c>
      <c r="G337" s="138">
        <f t="shared" si="24"/>
        <v>98.796000000000006</v>
      </c>
      <c r="H337" s="138">
        <v>1</v>
      </c>
      <c r="I337" s="138">
        <v>1</v>
      </c>
      <c r="J337" s="145">
        <f t="shared" si="25"/>
        <v>0.91068165489999997</v>
      </c>
      <c r="K337" s="146">
        <f t="shared" si="26"/>
        <v>88.019318783828638</v>
      </c>
    </row>
    <row r="338" spans="1:11">
      <c r="A338" s="138">
        <f t="shared" si="23"/>
        <v>1.5537970000000001</v>
      </c>
      <c r="B338" s="138">
        <v>1553.797</v>
      </c>
      <c r="C338" s="138">
        <v>99.073999999999998</v>
      </c>
      <c r="D338" s="138">
        <v>0.92600000000000005</v>
      </c>
      <c r="E338" s="138">
        <v>98.82</v>
      </c>
      <c r="F338" s="138">
        <v>1.18</v>
      </c>
      <c r="G338" s="138">
        <f t="shared" si="24"/>
        <v>98.82</v>
      </c>
      <c r="H338" s="138">
        <v>1</v>
      </c>
      <c r="I338" s="138">
        <v>1</v>
      </c>
      <c r="J338" s="145">
        <f t="shared" si="25"/>
        <v>0.91101482410000001</v>
      </c>
      <c r="K338" s="146">
        <f t="shared" si="26"/>
        <v>88.072910194850905</v>
      </c>
    </row>
    <row r="339" spans="1:11">
      <c r="A339" s="138">
        <f t="shared" si="23"/>
        <v>1.556962</v>
      </c>
      <c r="B339" s="138">
        <v>1556.962</v>
      </c>
      <c r="C339" s="138">
        <v>99.103999999999999</v>
      </c>
      <c r="D339" s="138">
        <v>0.89600000000000002</v>
      </c>
      <c r="E339" s="138">
        <v>98.841999999999999</v>
      </c>
      <c r="F339" s="138">
        <v>1.1579999999999999</v>
      </c>
      <c r="G339" s="138">
        <f t="shared" si="24"/>
        <v>98.841999999999999</v>
      </c>
      <c r="H339" s="138">
        <v>1</v>
      </c>
      <c r="I339" s="138">
        <v>1</v>
      </c>
      <c r="J339" s="145">
        <f t="shared" si="25"/>
        <v>0.91134809859999999</v>
      </c>
      <c r="K339" s="146">
        <f t="shared" si="26"/>
        <v>88.124744289689673</v>
      </c>
    </row>
    <row r="340" spans="1:11">
      <c r="A340" s="138">
        <f t="shared" si="23"/>
        <v>1.560127</v>
      </c>
      <c r="B340" s="138">
        <v>1560.127</v>
      </c>
      <c r="C340" s="138">
        <v>99.132999999999996</v>
      </c>
      <c r="D340" s="138">
        <v>0.86699999999999999</v>
      </c>
      <c r="E340" s="138">
        <v>98.864000000000004</v>
      </c>
      <c r="F340" s="138">
        <v>1.1359999999999999</v>
      </c>
      <c r="G340" s="138">
        <f t="shared" si="24"/>
        <v>98.864000000000004</v>
      </c>
      <c r="H340" s="138">
        <v>1</v>
      </c>
      <c r="I340" s="138">
        <v>1</v>
      </c>
      <c r="J340" s="145">
        <f t="shared" si="25"/>
        <v>0.91168137309999997</v>
      </c>
      <c r="K340" s="146">
        <f t="shared" si="26"/>
        <v>88.176592730395967</v>
      </c>
    </row>
    <row r="341" spans="1:11">
      <c r="A341" s="138">
        <f t="shared" si="23"/>
        <v>1.563291</v>
      </c>
      <c r="B341" s="138">
        <v>1563.2909999999999</v>
      </c>
      <c r="C341" s="138">
        <v>99.162000000000006</v>
      </c>
      <c r="D341" s="138">
        <v>0.83799999999999997</v>
      </c>
      <c r="E341" s="138">
        <v>98.885999999999996</v>
      </c>
      <c r="F341" s="138">
        <v>1.1140000000000001</v>
      </c>
      <c r="G341" s="138">
        <f t="shared" si="24"/>
        <v>98.885999999999996</v>
      </c>
      <c r="H341" s="138">
        <v>1</v>
      </c>
      <c r="I341" s="138">
        <v>1</v>
      </c>
      <c r="J341" s="145">
        <f t="shared" si="25"/>
        <v>0.9120145422999999</v>
      </c>
      <c r="K341" s="146">
        <f t="shared" si="26"/>
        <v>88.228445330229448</v>
      </c>
    </row>
    <row r="342" spans="1:11">
      <c r="A342" s="138">
        <f t="shared" si="23"/>
        <v>1.5664559999999998</v>
      </c>
      <c r="B342" s="138">
        <v>1566.4559999999999</v>
      </c>
      <c r="C342" s="138">
        <v>99.188999999999993</v>
      </c>
      <c r="D342" s="138">
        <v>0.81100000000000005</v>
      </c>
      <c r="E342" s="138">
        <v>98.906999999999996</v>
      </c>
      <c r="F342" s="138">
        <v>1.093</v>
      </c>
      <c r="G342" s="138">
        <f t="shared" si="24"/>
        <v>98.906999999999996</v>
      </c>
      <c r="H342" s="138">
        <v>1</v>
      </c>
      <c r="I342" s="138">
        <v>1</v>
      </c>
      <c r="J342" s="145">
        <f t="shared" si="25"/>
        <v>0.91234781679999988</v>
      </c>
      <c r="K342" s="146">
        <f t="shared" si="26"/>
        <v>88.279429910535242</v>
      </c>
    </row>
    <row r="343" spans="1:11">
      <c r="A343" s="138">
        <f t="shared" si="23"/>
        <v>1.5696199999999998</v>
      </c>
      <c r="B343" s="138">
        <v>1569.62</v>
      </c>
      <c r="C343" s="138">
        <v>99.215999999999994</v>
      </c>
      <c r="D343" s="138">
        <v>0.78400000000000003</v>
      </c>
      <c r="E343" s="138">
        <v>98.927000000000007</v>
      </c>
      <c r="F343" s="138">
        <v>1.073</v>
      </c>
      <c r="G343" s="138">
        <f t="shared" si="24"/>
        <v>98.927000000000007</v>
      </c>
      <c r="H343" s="138">
        <v>1</v>
      </c>
      <c r="I343" s="138">
        <v>1</v>
      </c>
      <c r="J343" s="145">
        <f t="shared" si="25"/>
        <v>0.91268098599999992</v>
      </c>
      <c r="K343" s="146">
        <f t="shared" si="26"/>
        <v>88.329525117748119</v>
      </c>
    </row>
    <row r="344" spans="1:11">
      <c r="A344" s="138">
        <f t="shared" si="23"/>
        <v>1.5727850000000001</v>
      </c>
      <c r="B344" s="138">
        <v>1572.7850000000001</v>
      </c>
      <c r="C344" s="138">
        <v>99.242000000000004</v>
      </c>
      <c r="D344" s="138">
        <v>0.75800000000000001</v>
      </c>
      <c r="E344" s="138">
        <v>98.947000000000003</v>
      </c>
      <c r="F344" s="138">
        <v>1.0529999999999999</v>
      </c>
      <c r="G344" s="138">
        <f t="shared" si="24"/>
        <v>98.947000000000003</v>
      </c>
      <c r="H344" s="138">
        <v>1</v>
      </c>
      <c r="I344" s="138">
        <v>1</v>
      </c>
      <c r="J344" s="145">
        <f t="shared" si="25"/>
        <v>0.91301426050000001</v>
      </c>
      <c r="K344" s="146">
        <f t="shared" si="26"/>
        <v>88.379643555562339</v>
      </c>
    </row>
    <row r="345" spans="1:11">
      <c r="A345" s="138">
        <f t="shared" si="23"/>
        <v>1.575949</v>
      </c>
      <c r="B345" s="138">
        <v>1575.9490000000001</v>
      </c>
      <c r="C345" s="138">
        <v>99.268000000000001</v>
      </c>
      <c r="D345" s="138">
        <v>0.73199999999999998</v>
      </c>
      <c r="E345" s="138">
        <v>98.965999999999994</v>
      </c>
      <c r="F345" s="138">
        <v>1.034</v>
      </c>
      <c r="G345" s="138">
        <f t="shared" si="24"/>
        <v>98.965999999999994</v>
      </c>
      <c r="H345" s="138">
        <v>1</v>
      </c>
      <c r="I345" s="138">
        <v>1</v>
      </c>
      <c r="J345" s="145">
        <f t="shared" si="25"/>
        <v>0.91334742969999994</v>
      </c>
      <c r="K345" s="146">
        <f t="shared" si="26"/>
        <v>88.428871312199306</v>
      </c>
    </row>
    <row r="346" spans="1:11">
      <c r="A346" s="138">
        <f t="shared" si="23"/>
        <v>1.5791140000000001</v>
      </c>
      <c r="B346" s="138">
        <v>1579.114</v>
      </c>
      <c r="C346" s="138">
        <v>99.292000000000002</v>
      </c>
      <c r="D346" s="138">
        <v>0.70799999999999996</v>
      </c>
      <c r="E346" s="138">
        <v>98.984999999999999</v>
      </c>
      <c r="F346" s="138">
        <v>1.0149999999999999</v>
      </c>
      <c r="G346" s="138">
        <f t="shared" si="24"/>
        <v>98.984999999999999</v>
      </c>
      <c r="H346" s="138">
        <v>1</v>
      </c>
      <c r="I346" s="138">
        <v>1</v>
      </c>
      <c r="J346" s="145">
        <f t="shared" si="25"/>
        <v>0.91368070419999992</v>
      </c>
      <c r="K346" s="146">
        <f t="shared" si="26"/>
        <v>88.478121651473344</v>
      </c>
    </row>
    <row r="347" spans="1:11">
      <c r="A347" s="138">
        <f t="shared" si="23"/>
        <v>1.5822780000000001</v>
      </c>
      <c r="B347" s="138">
        <v>1582.278</v>
      </c>
      <c r="C347" s="138">
        <v>99.316000000000003</v>
      </c>
      <c r="D347" s="138">
        <v>0.68400000000000005</v>
      </c>
      <c r="E347" s="138">
        <v>99.003</v>
      </c>
      <c r="F347" s="138">
        <v>0.997</v>
      </c>
      <c r="G347" s="138">
        <f t="shared" si="24"/>
        <v>99.003</v>
      </c>
      <c r="H347" s="138">
        <v>1</v>
      </c>
      <c r="I347" s="138">
        <v>1</v>
      </c>
      <c r="J347" s="145">
        <f t="shared" si="25"/>
        <v>0.91401387339999995</v>
      </c>
      <c r="K347" s="146">
        <f t="shared" si="26"/>
        <v>88.526480001691823</v>
      </c>
    </row>
    <row r="348" spans="1:11">
      <c r="A348" s="138">
        <f t="shared" si="23"/>
        <v>1.5854429999999999</v>
      </c>
      <c r="B348" s="138">
        <v>1585.443</v>
      </c>
      <c r="C348" s="138">
        <v>99.34</v>
      </c>
      <c r="D348" s="138">
        <v>0.66</v>
      </c>
      <c r="E348" s="138">
        <v>99.02</v>
      </c>
      <c r="F348" s="138">
        <v>0.98</v>
      </c>
      <c r="G348" s="138">
        <f t="shared" si="24"/>
        <v>99.02</v>
      </c>
      <c r="H348" s="138">
        <v>1</v>
      </c>
      <c r="I348" s="138">
        <v>1</v>
      </c>
      <c r="J348" s="145">
        <f t="shared" si="25"/>
        <v>0.91434714789999993</v>
      </c>
      <c r="K348" s="146">
        <f t="shared" si="26"/>
        <v>88.573965780562233</v>
      </c>
    </row>
    <row r="349" spans="1:11">
      <c r="A349" s="138">
        <f t="shared" si="23"/>
        <v>1.588608</v>
      </c>
      <c r="B349" s="138">
        <v>1588.6079999999999</v>
      </c>
      <c r="C349" s="138">
        <v>99.361999999999995</v>
      </c>
      <c r="D349" s="138">
        <v>0.63800000000000001</v>
      </c>
      <c r="E349" s="138">
        <v>99.037000000000006</v>
      </c>
      <c r="F349" s="138">
        <v>0.96299999999999997</v>
      </c>
      <c r="G349" s="138">
        <f t="shared" si="24"/>
        <v>99.037000000000006</v>
      </c>
      <c r="H349" s="138">
        <v>1</v>
      </c>
      <c r="I349" s="138">
        <v>1</v>
      </c>
      <c r="J349" s="145">
        <f t="shared" si="25"/>
        <v>0.91468042240000003</v>
      </c>
      <c r="K349" s="146">
        <f t="shared" si="26"/>
        <v>88.621462644875734</v>
      </c>
    </row>
    <row r="350" spans="1:11">
      <c r="A350" s="138">
        <f t="shared" si="23"/>
        <v>1.591772</v>
      </c>
      <c r="B350" s="138">
        <v>1591.7719999999999</v>
      </c>
      <c r="C350" s="138">
        <v>99.384</v>
      </c>
      <c r="D350" s="138">
        <v>0.61599999999999999</v>
      </c>
      <c r="E350" s="138">
        <v>99.052999999999997</v>
      </c>
      <c r="F350" s="138">
        <v>0.94699999999999995</v>
      </c>
      <c r="G350" s="138">
        <f t="shared" si="24"/>
        <v>99.052999999999997</v>
      </c>
      <c r="H350" s="138">
        <v>1</v>
      </c>
      <c r="I350" s="138">
        <v>1</v>
      </c>
      <c r="J350" s="145">
        <f t="shared" si="25"/>
        <v>0.91501359159999995</v>
      </c>
      <c r="K350" s="146">
        <f t="shared" si="26"/>
        <v>88.66806523278882</v>
      </c>
    </row>
    <row r="351" spans="1:11">
      <c r="A351" s="138">
        <f t="shared" si="23"/>
        <v>1.5949369999999998</v>
      </c>
      <c r="B351" s="138">
        <v>1594.9369999999999</v>
      </c>
      <c r="C351" s="138">
        <v>99.405000000000001</v>
      </c>
      <c r="D351" s="138">
        <v>0.59499999999999997</v>
      </c>
      <c r="E351" s="138">
        <v>99.069000000000003</v>
      </c>
      <c r="F351" s="138">
        <v>0.93100000000000005</v>
      </c>
      <c r="G351" s="138">
        <f t="shared" si="24"/>
        <v>99.069000000000003</v>
      </c>
      <c r="H351" s="138">
        <v>1</v>
      </c>
      <c r="I351" s="138">
        <v>1</v>
      </c>
      <c r="J351" s="145">
        <f t="shared" si="25"/>
        <v>0.91534686609999993</v>
      </c>
      <c r="K351" s="146">
        <f t="shared" si="26"/>
        <v>88.714688456355645</v>
      </c>
    </row>
    <row r="352" spans="1:11">
      <c r="A352" s="138">
        <f t="shared" si="23"/>
        <v>1.5981010000000002</v>
      </c>
      <c r="B352" s="138">
        <v>1598.1010000000001</v>
      </c>
      <c r="C352" s="138">
        <v>99.426000000000002</v>
      </c>
      <c r="D352" s="138">
        <v>0.57399999999999995</v>
      </c>
      <c r="E352" s="138">
        <v>99.084000000000003</v>
      </c>
      <c r="F352" s="138">
        <v>0.91600000000000004</v>
      </c>
      <c r="G352" s="138">
        <f t="shared" si="24"/>
        <v>99.084000000000003</v>
      </c>
      <c r="H352" s="138">
        <v>1</v>
      </c>
      <c r="I352" s="138">
        <v>1</v>
      </c>
      <c r="J352" s="145">
        <f t="shared" si="25"/>
        <v>0.91568003529999997</v>
      </c>
      <c r="K352" s="146">
        <f t="shared" si="26"/>
        <v>88.760416096261864</v>
      </c>
    </row>
    <row r="353" spans="1:11">
      <c r="A353" s="138">
        <f t="shared" si="23"/>
        <v>1.6012660000000001</v>
      </c>
      <c r="B353" s="138">
        <v>1601.2660000000001</v>
      </c>
      <c r="C353" s="138">
        <v>99.444999999999993</v>
      </c>
      <c r="D353" s="138">
        <v>0.55500000000000005</v>
      </c>
      <c r="E353" s="138">
        <v>99.099000000000004</v>
      </c>
      <c r="F353" s="138">
        <v>0.90100000000000002</v>
      </c>
      <c r="G353" s="138">
        <f t="shared" si="24"/>
        <v>99.099000000000004</v>
      </c>
      <c r="H353" s="138">
        <v>1</v>
      </c>
      <c r="I353" s="138">
        <v>1</v>
      </c>
      <c r="J353" s="145">
        <f t="shared" si="25"/>
        <v>0.91601330979999995</v>
      </c>
      <c r="K353" s="146">
        <f t="shared" si="26"/>
        <v>88.806163723033421</v>
      </c>
    </row>
    <row r="354" spans="1:11">
      <c r="A354" s="138">
        <f t="shared" si="23"/>
        <v>1.60443</v>
      </c>
      <c r="B354" s="138">
        <v>1604.43</v>
      </c>
      <c r="C354" s="138">
        <v>99.465000000000003</v>
      </c>
      <c r="D354" s="138">
        <v>0.53500000000000003</v>
      </c>
      <c r="E354" s="138">
        <v>99.113</v>
      </c>
      <c r="F354" s="138">
        <v>0.88700000000000001</v>
      </c>
      <c r="G354" s="138">
        <f t="shared" si="24"/>
        <v>99.113</v>
      </c>
      <c r="H354" s="138">
        <v>1</v>
      </c>
      <c r="I354" s="138">
        <v>1</v>
      </c>
      <c r="J354" s="145">
        <f t="shared" si="25"/>
        <v>0.91634647899999999</v>
      </c>
      <c r="K354" s="146">
        <f t="shared" si="26"/>
        <v>88.851014459090152</v>
      </c>
    </row>
    <row r="355" spans="1:11">
      <c r="A355" s="138">
        <f t="shared" si="23"/>
        <v>1.6075950000000001</v>
      </c>
      <c r="B355" s="138">
        <v>1607.595</v>
      </c>
      <c r="C355" s="138">
        <v>99.483000000000004</v>
      </c>
      <c r="D355" s="138">
        <v>0.51700000000000002</v>
      </c>
      <c r="E355" s="138">
        <v>99.126000000000005</v>
      </c>
      <c r="F355" s="138">
        <v>0.874</v>
      </c>
      <c r="G355" s="138">
        <f t="shared" si="24"/>
        <v>99.126000000000005</v>
      </c>
      <c r="H355" s="138">
        <v>1</v>
      </c>
      <c r="I355" s="138">
        <v>1</v>
      </c>
      <c r="J355" s="145">
        <f t="shared" si="25"/>
        <v>0.91667975349999997</v>
      </c>
      <c r="K355" s="146">
        <f t="shared" si="26"/>
        <v>88.894987745214934</v>
      </c>
    </row>
    <row r="356" spans="1:11">
      <c r="A356" s="138">
        <f t="shared" si="23"/>
        <v>1.6107590000000001</v>
      </c>
      <c r="B356" s="138">
        <v>1610.759</v>
      </c>
      <c r="C356" s="138">
        <v>99.501000000000005</v>
      </c>
      <c r="D356" s="138">
        <v>0.499</v>
      </c>
      <c r="E356" s="138">
        <v>99.138999999999996</v>
      </c>
      <c r="F356" s="138">
        <v>0.86099999999999999</v>
      </c>
      <c r="G356" s="138">
        <f t="shared" si="24"/>
        <v>99.138999999999996</v>
      </c>
      <c r="H356" s="138">
        <v>1</v>
      </c>
      <c r="I356" s="138">
        <v>1</v>
      </c>
      <c r="J356" s="145">
        <f t="shared" si="25"/>
        <v>0.9170129226999999</v>
      </c>
      <c r="K356" s="146">
        <f t="shared" si="26"/>
        <v>88.938959295640132</v>
      </c>
    </row>
    <row r="357" spans="1:11">
      <c r="A357" s="138">
        <f t="shared" si="23"/>
        <v>1.6139239999999999</v>
      </c>
      <c r="B357" s="138">
        <v>1613.924</v>
      </c>
      <c r="C357" s="138">
        <v>99.518000000000001</v>
      </c>
      <c r="D357" s="138">
        <v>0.48199999999999998</v>
      </c>
      <c r="E357" s="138">
        <v>99.150999999999996</v>
      </c>
      <c r="F357" s="138">
        <v>0.84899999999999998</v>
      </c>
      <c r="G357" s="138">
        <f t="shared" si="24"/>
        <v>99.150999999999996</v>
      </c>
      <c r="H357" s="138">
        <v>1</v>
      </c>
      <c r="I357" s="138">
        <v>1</v>
      </c>
      <c r="J357" s="145">
        <f t="shared" si="25"/>
        <v>0.91734619719999999</v>
      </c>
      <c r="K357" s="146">
        <f t="shared" si="26"/>
        <v>88.982052094848058</v>
      </c>
    </row>
    <row r="358" spans="1:11">
      <c r="A358" s="138">
        <f t="shared" si="23"/>
        <v>1.617089</v>
      </c>
      <c r="B358" s="138">
        <v>1617.0889999999999</v>
      </c>
      <c r="C358" s="138">
        <v>99.534999999999997</v>
      </c>
      <c r="D358" s="138">
        <v>0.46500000000000002</v>
      </c>
      <c r="E358" s="138">
        <v>99.162999999999997</v>
      </c>
      <c r="F358" s="138">
        <v>0.83699999999999997</v>
      </c>
      <c r="G358" s="138">
        <f t="shared" si="24"/>
        <v>99.162999999999997</v>
      </c>
      <c r="H358" s="138">
        <v>1</v>
      </c>
      <c r="I358" s="138">
        <v>1</v>
      </c>
      <c r="J358" s="145">
        <f t="shared" si="25"/>
        <v>0.91767947169999997</v>
      </c>
      <c r="K358" s="146">
        <f t="shared" si="26"/>
        <v>89.025152719074626</v>
      </c>
    </row>
    <row r="359" spans="1:11">
      <c r="A359" s="138">
        <f t="shared" si="23"/>
        <v>1.6202529999999999</v>
      </c>
      <c r="B359" s="138">
        <v>1620.2529999999999</v>
      </c>
      <c r="C359" s="138">
        <v>99.55</v>
      </c>
      <c r="D359" s="138">
        <v>0.45</v>
      </c>
      <c r="E359" s="138">
        <v>99.174000000000007</v>
      </c>
      <c r="F359" s="138">
        <v>0.82599999999999996</v>
      </c>
      <c r="G359" s="138">
        <f t="shared" si="24"/>
        <v>99.174000000000007</v>
      </c>
      <c r="H359" s="138">
        <v>1</v>
      </c>
      <c r="I359" s="138">
        <v>1</v>
      </c>
      <c r="J359" s="145">
        <f t="shared" si="25"/>
        <v>0.91801264090000001</v>
      </c>
      <c r="K359" s="146">
        <f t="shared" si="26"/>
        <v>89.067352860041623</v>
      </c>
    </row>
    <row r="360" spans="1:11">
      <c r="A360" s="138">
        <f t="shared" si="23"/>
        <v>1.6234179999999998</v>
      </c>
      <c r="B360" s="138">
        <v>1623.4179999999999</v>
      </c>
      <c r="C360" s="138">
        <v>99.566000000000003</v>
      </c>
      <c r="D360" s="138">
        <v>0.434</v>
      </c>
      <c r="E360" s="138">
        <v>99.185000000000002</v>
      </c>
      <c r="F360" s="138">
        <v>0.81499999999999995</v>
      </c>
      <c r="G360" s="138">
        <f t="shared" si="24"/>
        <v>99.185000000000002</v>
      </c>
      <c r="H360" s="138">
        <v>1</v>
      </c>
      <c r="I360" s="138">
        <v>1</v>
      </c>
      <c r="J360" s="145">
        <f t="shared" si="25"/>
        <v>0.91834591539999999</v>
      </c>
      <c r="K360" s="146">
        <f t="shared" si="26"/>
        <v>89.109570389217808</v>
      </c>
    </row>
    <row r="361" spans="1:11">
      <c r="A361" s="138">
        <f t="shared" si="23"/>
        <v>1.6265820000000002</v>
      </c>
      <c r="B361" s="138">
        <v>1626.5820000000001</v>
      </c>
      <c r="C361" s="138">
        <v>99.58</v>
      </c>
      <c r="D361" s="138">
        <v>0.42</v>
      </c>
      <c r="E361" s="138">
        <v>99.194999999999993</v>
      </c>
      <c r="F361" s="138">
        <v>0.80500000000000005</v>
      </c>
      <c r="G361" s="138">
        <f t="shared" si="24"/>
        <v>99.194999999999993</v>
      </c>
      <c r="H361" s="138">
        <v>1</v>
      </c>
      <c r="I361" s="138">
        <v>1</v>
      </c>
      <c r="J361" s="145">
        <f t="shared" si="25"/>
        <v>0.91867908459999992</v>
      </c>
      <c r="K361" s="146">
        <f t="shared" si="26"/>
        <v>89.150886128904318</v>
      </c>
    </row>
    <row r="362" spans="1:11">
      <c r="A362" s="138">
        <f t="shared" si="23"/>
        <v>1.6297470000000001</v>
      </c>
      <c r="B362" s="138">
        <v>1629.7470000000001</v>
      </c>
      <c r="C362" s="138">
        <v>99.593999999999994</v>
      </c>
      <c r="D362" s="138">
        <v>0.40600000000000003</v>
      </c>
      <c r="E362" s="138">
        <v>99.204999999999998</v>
      </c>
      <c r="F362" s="138">
        <v>0.79500000000000004</v>
      </c>
      <c r="G362" s="138">
        <f t="shared" si="24"/>
        <v>99.204999999999998</v>
      </c>
      <c r="H362" s="138">
        <v>1</v>
      </c>
      <c r="I362" s="138">
        <v>1</v>
      </c>
      <c r="J362" s="145">
        <f t="shared" si="25"/>
        <v>0.9190123590999999</v>
      </c>
      <c r="K362" s="146">
        <f t="shared" si="26"/>
        <v>89.192218606981498</v>
      </c>
    </row>
    <row r="363" spans="1:11">
      <c r="A363" s="138">
        <f t="shared" si="23"/>
        <v>1.632911</v>
      </c>
      <c r="B363" s="138">
        <v>1632.9110000000001</v>
      </c>
      <c r="C363" s="138">
        <v>99.606999999999999</v>
      </c>
      <c r="D363" s="138">
        <v>0.39300000000000002</v>
      </c>
      <c r="E363" s="138">
        <v>99.213999999999999</v>
      </c>
      <c r="F363" s="138">
        <v>0.78600000000000003</v>
      </c>
      <c r="G363" s="138">
        <f t="shared" si="24"/>
        <v>99.213999999999999</v>
      </c>
      <c r="H363" s="138">
        <v>1</v>
      </c>
      <c r="I363" s="138">
        <v>1</v>
      </c>
      <c r="J363" s="145">
        <f t="shared" si="25"/>
        <v>0.91934552829999994</v>
      </c>
      <c r="K363" s="146">
        <f t="shared" si="26"/>
        <v>89.232647989544986</v>
      </c>
    </row>
    <row r="364" spans="1:11">
      <c r="A364" s="138">
        <f t="shared" si="23"/>
        <v>1.6360760000000001</v>
      </c>
      <c r="B364" s="138">
        <v>1636.076</v>
      </c>
      <c r="C364" s="138">
        <v>99.62</v>
      </c>
      <c r="D364" s="138">
        <v>0.38</v>
      </c>
      <c r="E364" s="138">
        <v>99.222999999999999</v>
      </c>
      <c r="F364" s="138">
        <v>0.77700000000000002</v>
      </c>
      <c r="G364" s="138">
        <f t="shared" si="24"/>
        <v>99.222999999999999</v>
      </c>
      <c r="H364" s="138">
        <v>1</v>
      </c>
      <c r="I364" s="138">
        <v>1</v>
      </c>
      <c r="J364" s="145">
        <f t="shared" si="25"/>
        <v>0.91967880280000003</v>
      </c>
      <c r="K364" s="146">
        <f t="shared" si="26"/>
        <v>89.273093460474541</v>
      </c>
    </row>
    <row r="365" spans="1:11">
      <c r="A365" s="138">
        <f t="shared" si="23"/>
        <v>1.6392409999999999</v>
      </c>
      <c r="B365" s="138">
        <v>1639.241</v>
      </c>
      <c r="C365" s="138">
        <v>99.632000000000005</v>
      </c>
      <c r="D365" s="138">
        <v>0.36799999999999999</v>
      </c>
      <c r="E365" s="138">
        <v>99.230999999999995</v>
      </c>
      <c r="F365" s="138">
        <v>0.76900000000000002</v>
      </c>
      <c r="G365" s="138">
        <f t="shared" si="24"/>
        <v>99.230999999999995</v>
      </c>
      <c r="H365" s="138">
        <v>1</v>
      </c>
      <c r="I365" s="138">
        <v>1</v>
      </c>
      <c r="J365" s="145">
        <f t="shared" si="25"/>
        <v>0.92001207730000001</v>
      </c>
      <c r="K365" s="146">
        <f t="shared" si="26"/>
        <v>89.312644752352824</v>
      </c>
    </row>
    <row r="366" spans="1:11">
      <c r="A366" s="138">
        <f t="shared" si="23"/>
        <v>1.6424049999999999</v>
      </c>
      <c r="B366" s="138">
        <v>1642.405</v>
      </c>
      <c r="C366" s="138">
        <v>99.643000000000001</v>
      </c>
      <c r="D366" s="138">
        <v>0.35699999999999998</v>
      </c>
      <c r="E366" s="138">
        <v>99.239000000000004</v>
      </c>
      <c r="F366" s="138">
        <v>0.76100000000000001</v>
      </c>
      <c r="G366" s="138">
        <f t="shared" si="24"/>
        <v>99.239000000000004</v>
      </c>
      <c r="H366" s="138">
        <v>1</v>
      </c>
      <c r="I366" s="138">
        <v>1</v>
      </c>
      <c r="J366" s="145">
        <f t="shared" si="25"/>
        <v>0.92034524649999994</v>
      </c>
      <c r="K366" s="146">
        <f t="shared" si="26"/>
        <v>89.352191037805625</v>
      </c>
    </row>
    <row r="367" spans="1:11">
      <c r="A367" s="138">
        <f t="shared" si="23"/>
        <v>1.64557</v>
      </c>
      <c r="B367" s="138">
        <v>1645.57</v>
      </c>
      <c r="C367" s="138">
        <v>99.653999999999996</v>
      </c>
      <c r="D367" s="138">
        <v>0.34599999999999997</v>
      </c>
      <c r="E367" s="138">
        <v>99.245999999999995</v>
      </c>
      <c r="F367" s="138">
        <v>0.754</v>
      </c>
      <c r="G367" s="138">
        <f t="shared" si="24"/>
        <v>99.245999999999995</v>
      </c>
      <c r="H367" s="138">
        <v>1</v>
      </c>
      <c r="I367" s="138">
        <v>1</v>
      </c>
      <c r="J367" s="145">
        <f t="shared" si="25"/>
        <v>0.92067852099999992</v>
      </c>
      <c r="K367" s="146">
        <f t="shared" si="26"/>
        <v>89.39085206242089</v>
      </c>
    </row>
    <row r="368" spans="1:11">
      <c r="A368" s="138">
        <f t="shared" si="23"/>
        <v>1.6487339999999999</v>
      </c>
      <c r="B368" s="138">
        <v>1648.7339999999999</v>
      </c>
      <c r="C368" s="138">
        <v>99.664000000000001</v>
      </c>
      <c r="D368" s="138">
        <v>0.33600000000000002</v>
      </c>
      <c r="E368" s="138">
        <v>99.253</v>
      </c>
      <c r="F368" s="138">
        <v>0.747</v>
      </c>
      <c r="G368" s="138">
        <f t="shared" si="24"/>
        <v>99.253</v>
      </c>
      <c r="H368" s="138">
        <v>1</v>
      </c>
      <c r="I368" s="138">
        <v>1</v>
      </c>
      <c r="J368" s="145">
        <f t="shared" si="25"/>
        <v>0.92101169019999996</v>
      </c>
      <c r="K368" s="146">
        <f t="shared" si="26"/>
        <v>89.42950742708355</v>
      </c>
    </row>
    <row r="369" spans="1:11">
      <c r="A369" s="138">
        <f t="shared" si="23"/>
        <v>1.6518989999999998</v>
      </c>
      <c r="B369" s="138">
        <v>1651.8989999999999</v>
      </c>
      <c r="C369" s="138">
        <v>99.674000000000007</v>
      </c>
      <c r="D369" s="138">
        <v>0.32600000000000001</v>
      </c>
      <c r="E369" s="138">
        <v>99.259</v>
      </c>
      <c r="F369" s="138">
        <v>0.74099999999999999</v>
      </c>
      <c r="G369" s="138">
        <f t="shared" si="24"/>
        <v>99.259</v>
      </c>
      <c r="H369" s="138">
        <v>1</v>
      </c>
      <c r="I369" s="138">
        <v>1</v>
      </c>
      <c r="J369" s="145">
        <f t="shared" si="25"/>
        <v>0.92134496469999994</v>
      </c>
      <c r="K369" s="146">
        <f t="shared" si="26"/>
        <v>89.467276228387178</v>
      </c>
    </row>
    <row r="370" spans="1:11">
      <c r="A370" s="138">
        <f t="shared" si="23"/>
        <v>1.6550630000000002</v>
      </c>
      <c r="B370" s="138">
        <v>1655.0630000000001</v>
      </c>
      <c r="C370" s="138">
        <v>99.683000000000007</v>
      </c>
      <c r="D370" s="138">
        <v>0.317</v>
      </c>
      <c r="E370" s="138">
        <v>99.263999999999996</v>
      </c>
      <c r="F370" s="138">
        <v>0.73599999999999999</v>
      </c>
      <c r="G370" s="138">
        <f t="shared" si="24"/>
        <v>99.263999999999996</v>
      </c>
      <c r="H370" s="138">
        <v>1</v>
      </c>
      <c r="I370" s="138">
        <v>1</v>
      </c>
      <c r="J370" s="145">
        <f t="shared" si="25"/>
        <v>0.92167813389999997</v>
      </c>
      <c r="K370" s="146">
        <f t="shared" si="26"/>
        <v>89.50413703869873</v>
      </c>
    </row>
    <row r="371" spans="1:11">
      <c r="A371" s="138">
        <f t="shared" si="23"/>
        <v>1.658228</v>
      </c>
      <c r="B371" s="138">
        <v>1658.2280000000001</v>
      </c>
      <c r="C371" s="138">
        <v>99.691000000000003</v>
      </c>
      <c r="D371" s="138">
        <v>0.309</v>
      </c>
      <c r="E371" s="138">
        <v>99.27</v>
      </c>
      <c r="F371" s="138">
        <v>0.73</v>
      </c>
      <c r="G371" s="138">
        <f t="shared" si="24"/>
        <v>99.27</v>
      </c>
      <c r="H371" s="138">
        <v>1</v>
      </c>
      <c r="I371" s="138">
        <v>1</v>
      </c>
      <c r="J371" s="145">
        <f t="shared" si="25"/>
        <v>0.92201140839999995</v>
      </c>
      <c r="K371" s="146">
        <f t="shared" si="26"/>
        <v>89.541913338360445</v>
      </c>
    </row>
    <row r="372" spans="1:11">
      <c r="A372" s="138">
        <f t="shared" si="23"/>
        <v>1.661392</v>
      </c>
      <c r="B372" s="138">
        <v>1661.3920000000001</v>
      </c>
      <c r="C372" s="138">
        <v>99.698999999999998</v>
      </c>
      <c r="D372" s="138">
        <v>0.30099999999999999</v>
      </c>
      <c r="E372" s="138">
        <v>99.274000000000001</v>
      </c>
      <c r="F372" s="138">
        <v>0.72599999999999998</v>
      </c>
      <c r="G372" s="138">
        <f t="shared" si="24"/>
        <v>99.274000000000001</v>
      </c>
      <c r="H372" s="138">
        <v>1</v>
      </c>
      <c r="I372" s="138">
        <v>1</v>
      </c>
      <c r="J372" s="145">
        <f t="shared" si="25"/>
        <v>0.92234457759999999</v>
      </c>
      <c r="K372" s="146">
        <f t="shared" si="26"/>
        <v>89.577878664214822</v>
      </c>
    </row>
    <row r="373" spans="1:11">
      <c r="A373" s="138">
        <f t="shared" si="23"/>
        <v>1.6645570000000001</v>
      </c>
      <c r="B373" s="138">
        <v>1664.557</v>
      </c>
      <c r="C373" s="138">
        <v>99.706000000000003</v>
      </c>
      <c r="D373" s="138">
        <v>0.29399999999999998</v>
      </c>
      <c r="E373" s="138">
        <v>99.278999999999996</v>
      </c>
      <c r="F373" s="138">
        <v>0.72099999999999997</v>
      </c>
      <c r="G373" s="138">
        <f t="shared" si="24"/>
        <v>99.278999999999996</v>
      </c>
      <c r="H373" s="138">
        <v>1</v>
      </c>
      <c r="I373" s="138">
        <v>1</v>
      </c>
      <c r="J373" s="145">
        <f t="shared" si="25"/>
        <v>0.92267785209999997</v>
      </c>
      <c r="K373" s="146">
        <f t="shared" si="26"/>
        <v>89.614759480449479</v>
      </c>
    </row>
    <row r="374" spans="1:11">
      <c r="A374" s="138">
        <f t="shared" si="23"/>
        <v>1.6677219999999999</v>
      </c>
      <c r="B374" s="138">
        <v>1667.722</v>
      </c>
      <c r="C374" s="138">
        <v>99.712999999999994</v>
      </c>
      <c r="D374" s="138">
        <v>0.28699999999999998</v>
      </c>
      <c r="E374" s="138">
        <v>99.281999999999996</v>
      </c>
      <c r="F374" s="138">
        <v>0.71799999999999997</v>
      </c>
      <c r="G374" s="138">
        <f t="shared" si="24"/>
        <v>99.281999999999996</v>
      </c>
      <c r="H374" s="138">
        <v>1</v>
      </c>
      <c r="I374" s="138">
        <v>1</v>
      </c>
      <c r="J374" s="145">
        <f t="shared" si="25"/>
        <v>0.92301112659999995</v>
      </c>
      <c r="K374" s="146">
        <f t="shared" si="26"/>
        <v>89.64983759353828</v>
      </c>
    </row>
    <row r="375" spans="1:11">
      <c r="A375" s="138">
        <f t="shared" si="23"/>
        <v>1.6708859999999999</v>
      </c>
      <c r="B375" s="138">
        <v>1670.886</v>
      </c>
      <c r="C375" s="138">
        <v>99.718999999999994</v>
      </c>
      <c r="D375" s="138">
        <v>0.28100000000000003</v>
      </c>
      <c r="E375" s="138">
        <v>99.286000000000001</v>
      </c>
      <c r="F375" s="138">
        <v>0.71399999999999997</v>
      </c>
      <c r="G375" s="138">
        <f t="shared" si="24"/>
        <v>99.286000000000001</v>
      </c>
      <c r="H375" s="138">
        <v>1</v>
      </c>
      <c r="I375" s="138">
        <v>1</v>
      </c>
      <c r="J375" s="145">
        <f t="shared" si="25"/>
        <v>0.92334429579999999</v>
      </c>
      <c r="K375" s="146">
        <f t="shared" si="26"/>
        <v>89.685810742763067</v>
      </c>
    </row>
    <row r="376" spans="1:11">
      <c r="A376" s="138">
        <f t="shared" si="23"/>
        <v>1.674051</v>
      </c>
      <c r="B376" s="138">
        <v>1674.0509999999999</v>
      </c>
      <c r="C376" s="138">
        <v>99.724999999999994</v>
      </c>
      <c r="D376" s="138">
        <v>0.27500000000000002</v>
      </c>
      <c r="E376" s="138">
        <v>99.287999999999997</v>
      </c>
      <c r="F376" s="138">
        <v>0.71199999999999997</v>
      </c>
      <c r="G376" s="138">
        <f t="shared" si="24"/>
        <v>99.287999999999997</v>
      </c>
      <c r="H376" s="138">
        <v>1</v>
      </c>
      <c r="I376" s="138">
        <v>1</v>
      </c>
      <c r="J376" s="145">
        <f t="shared" si="25"/>
        <v>0.92367757029999997</v>
      </c>
      <c r="K376" s="146">
        <f t="shared" si="26"/>
        <v>89.719989460327554</v>
      </c>
    </row>
    <row r="377" spans="1:11">
      <c r="A377" s="138">
        <f t="shared" si="23"/>
        <v>1.6772149999999999</v>
      </c>
      <c r="B377" s="138">
        <v>1677.2149999999999</v>
      </c>
      <c r="C377" s="138">
        <v>99.73</v>
      </c>
      <c r="D377" s="138">
        <v>0.27</v>
      </c>
      <c r="E377" s="138">
        <v>99.290999999999997</v>
      </c>
      <c r="F377" s="138">
        <v>0.70899999999999996</v>
      </c>
      <c r="G377" s="138">
        <f t="shared" si="24"/>
        <v>99.290999999999997</v>
      </c>
      <c r="H377" s="138">
        <v>1</v>
      </c>
      <c r="I377" s="138">
        <v>1</v>
      </c>
      <c r="J377" s="145">
        <f t="shared" si="25"/>
        <v>0.9240107394999999</v>
      </c>
      <c r="K377" s="146">
        <f t="shared" si="26"/>
        <v>89.755063213409926</v>
      </c>
    </row>
    <row r="378" spans="1:11">
      <c r="A378" s="138">
        <f t="shared" si="23"/>
        <v>1.6803800000000002</v>
      </c>
      <c r="B378" s="138">
        <v>1680.38</v>
      </c>
      <c r="C378" s="138">
        <v>99.733999999999995</v>
      </c>
      <c r="D378" s="138">
        <v>0.26600000000000001</v>
      </c>
      <c r="E378" s="138">
        <v>99.293000000000006</v>
      </c>
      <c r="F378" s="138">
        <v>0.70699999999999996</v>
      </c>
      <c r="G378" s="138">
        <f t="shared" si="24"/>
        <v>99.293000000000006</v>
      </c>
      <c r="H378" s="138">
        <v>1</v>
      </c>
      <c r="I378" s="138">
        <v>1</v>
      </c>
      <c r="J378" s="145">
        <f t="shared" si="25"/>
        <v>0.92434401399999999</v>
      </c>
      <c r="K378" s="146">
        <f t="shared" si="26"/>
        <v>89.78924486515038</v>
      </c>
    </row>
    <row r="379" spans="1:11">
      <c r="A379" s="138">
        <f t="shared" si="23"/>
        <v>1.6835440000000002</v>
      </c>
      <c r="B379" s="138">
        <v>1683.5440000000001</v>
      </c>
      <c r="C379" s="138">
        <v>99.738</v>
      </c>
      <c r="D379" s="138">
        <v>0.26200000000000001</v>
      </c>
      <c r="E379" s="138">
        <v>99.293999999999997</v>
      </c>
      <c r="F379" s="138">
        <v>0.70599999999999996</v>
      </c>
      <c r="G379" s="138">
        <f t="shared" si="24"/>
        <v>99.293999999999997</v>
      </c>
      <c r="H379" s="138">
        <v>1</v>
      </c>
      <c r="I379" s="138">
        <v>1</v>
      </c>
      <c r="J379" s="145">
        <f t="shared" si="25"/>
        <v>0.92467718320000003</v>
      </c>
      <c r="K379" s="146">
        <f t="shared" si="26"/>
        <v>89.822512980498857</v>
      </c>
    </row>
    <row r="380" spans="1:11">
      <c r="A380" s="138">
        <f t="shared" si="23"/>
        <v>1.686709</v>
      </c>
      <c r="B380" s="138">
        <v>1686.7090000000001</v>
      </c>
      <c r="C380" s="138">
        <v>99.741</v>
      </c>
      <c r="D380" s="138">
        <v>0.25900000000000001</v>
      </c>
      <c r="E380" s="138">
        <v>99.295000000000002</v>
      </c>
      <c r="F380" s="138">
        <v>0.70499999999999996</v>
      </c>
      <c r="G380" s="138">
        <f t="shared" si="24"/>
        <v>99.295000000000002</v>
      </c>
      <c r="H380" s="138">
        <v>1</v>
      </c>
      <c r="I380" s="138">
        <v>1</v>
      </c>
      <c r="J380" s="145">
        <f t="shared" si="25"/>
        <v>0.92501045770000001</v>
      </c>
      <c r="K380" s="146">
        <f t="shared" si="26"/>
        <v>89.855791976599619</v>
      </c>
    </row>
    <row r="381" spans="1:11">
      <c r="A381" s="138">
        <f t="shared" si="23"/>
        <v>1.689873</v>
      </c>
      <c r="B381" s="138">
        <v>1689.873</v>
      </c>
      <c r="C381" s="138">
        <v>99.744</v>
      </c>
      <c r="D381" s="138">
        <v>0.25600000000000001</v>
      </c>
      <c r="E381" s="138">
        <v>99.296000000000006</v>
      </c>
      <c r="F381" s="138">
        <v>0.70399999999999996</v>
      </c>
      <c r="G381" s="138">
        <f t="shared" si="24"/>
        <v>99.296000000000006</v>
      </c>
      <c r="H381" s="138">
        <v>1</v>
      </c>
      <c r="I381" s="138">
        <v>1</v>
      </c>
      <c r="J381" s="145">
        <f t="shared" si="25"/>
        <v>0.92534362689999994</v>
      </c>
      <c r="K381" s="146">
        <f t="shared" si="26"/>
        <v>89.889061395808824</v>
      </c>
    </row>
    <row r="382" spans="1:11">
      <c r="A382" s="138">
        <f t="shared" si="23"/>
        <v>1.693038</v>
      </c>
      <c r="B382" s="138">
        <v>1693.038</v>
      </c>
      <c r="C382" s="138">
        <v>99.747</v>
      </c>
      <c r="D382" s="138">
        <v>0.253</v>
      </c>
      <c r="E382" s="138">
        <v>99.296000000000006</v>
      </c>
      <c r="F382" s="138">
        <v>0.70399999999999996</v>
      </c>
      <c r="G382" s="138">
        <f t="shared" si="24"/>
        <v>99.296000000000006</v>
      </c>
      <c r="H382" s="138">
        <v>1</v>
      </c>
      <c r="I382" s="138">
        <v>1</v>
      </c>
      <c r="J382" s="145">
        <f t="shared" si="25"/>
        <v>0.92567690139999992</v>
      </c>
      <c r="K382" s="146">
        <f t="shared" si="26"/>
        <v>89.921436106263698</v>
      </c>
    </row>
    <row r="383" spans="1:11">
      <c r="A383" s="138">
        <f t="shared" si="23"/>
        <v>1.6962029999999999</v>
      </c>
      <c r="B383" s="138">
        <v>1696.203</v>
      </c>
      <c r="C383" s="138">
        <v>99.748000000000005</v>
      </c>
      <c r="D383" s="138">
        <v>0.252</v>
      </c>
      <c r="E383" s="138">
        <v>99.296000000000006</v>
      </c>
      <c r="F383" s="138">
        <v>0.70399999999999996</v>
      </c>
      <c r="G383" s="138">
        <f t="shared" si="24"/>
        <v>99.296000000000006</v>
      </c>
      <c r="H383" s="138">
        <v>1</v>
      </c>
      <c r="I383" s="138">
        <v>1</v>
      </c>
      <c r="J383" s="145">
        <f t="shared" si="25"/>
        <v>0.9260101758999999</v>
      </c>
      <c r="K383" s="146">
        <f t="shared" si="26"/>
        <v>89.953810816718573</v>
      </c>
    </row>
    <row r="384" spans="1:11">
      <c r="A384" s="138">
        <f t="shared" si="23"/>
        <v>1.6993670000000001</v>
      </c>
      <c r="B384" s="138">
        <v>1699.367</v>
      </c>
      <c r="C384" s="138">
        <v>99.75</v>
      </c>
      <c r="D384" s="138">
        <v>0.25</v>
      </c>
      <c r="E384" s="138">
        <v>99.295000000000002</v>
      </c>
      <c r="F384" s="138">
        <v>0.70499999999999996</v>
      </c>
      <c r="G384" s="138">
        <f t="shared" si="24"/>
        <v>99.295000000000002</v>
      </c>
      <c r="H384" s="138">
        <v>1</v>
      </c>
      <c r="I384" s="138">
        <v>1</v>
      </c>
      <c r="J384" s="145">
        <f t="shared" si="25"/>
        <v>0.92634334509999994</v>
      </c>
      <c r="K384" s="146">
        <f t="shared" si="26"/>
        <v>89.985269056502517</v>
      </c>
    </row>
    <row r="385" spans="1:11">
      <c r="A385" s="138">
        <f t="shared" si="23"/>
        <v>1.7025319999999999</v>
      </c>
      <c r="B385" s="138">
        <v>1702.5319999999999</v>
      </c>
      <c r="C385" s="138">
        <v>99.75</v>
      </c>
      <c r="D385" s="138">
        <v>0.25</v>
      </c>
      <c r="E385" s="138">
        <v>99.293999999999997</v>
      </c>
      <c r="F385" s="138">
        <v>0.70599999999999996</v>
      </c>
      <c r="G385" s="138">
        <f t="shared" si="24"/>
        <v>99.293999999999997</v>
      </c>
      <c r="H385" s="138">
        <v>1</v>
      </c>
      <c r="I385" s="138">
        <v>1</v>
      </c>
      <c r="J385" s="145">
        <f t="shared" si="25"/>
        <v>0.92667661959999992</v>
      </c>
      <c r="K385" s="146">
        <f t="shared" si="26"/>
        <v>90.016736873177976</v>
      </c>
    </row>
    <row r="386" spans="1:11">
      <c r="A386" s="138">
        <f t="shared" si="23"/>
        <v>1.7056959999999999</v>
      </c>
      <c r="B386" s="138">
        <v>1705.6959999999999</v>
      </c>
      <c r="C386" s="138">
        <v>99.75</v>
      </c>
      <c r="D386" s="138">
        <v>0.25</v>
      </c>
      <c r="E386" s="138">
        <v>99.293000000000006</v>
      </c>
      <c r="F386" s="138">
        <v>0.70699999999999996</v>
      </c>
      <c r="G386" s="138">
        <f t="shared" si="24"/>
        <v>99.293000000000006</v>
      </c>
      <c r="H386" s="138">
        <v>1</v>
      </c>
      <c r="I386" s="138">
        <v>1</v>
      </c>
      <c r="J386" s="145">
        <f t="shared" si="25"/>
        <v>0.92700978879999996</v>
      </c>
      <c r="K386" s="146">
        <f t="shared" si="26"/>
        <v>90.048193809101178</v>
      </c>
    </row>
    <row r="387" spans="1:11">
      <c r="A387" s="138">
        <f t="shared" si="23"/>
        <v>1.7088610000000002</v>
      </c>
      <c r="B387" s="138">
        <v>1708.8610000000001</v>
      </c>
      <c r="C387" s="138">
        <v>99.75</v>
      </c>
      <c r="D387" s="138">
        <v>0.25</v>
      </c>
      <c r="E387" s="138">
        <v>99.290999999999997</v>
      </c>
      <c r="F387" s="138">
        <v>0.70899999999999996</v>
      </c>
      <c r="G387" s="138">
        <f t="shared" si="24"/>
        <v>99.290999999999997</v>
      </c>
      <c r="H387" s="138">
        <v>1</v>
      </c>
      <c r="I387" s="138">
        <v>1</v>
      </c>
      <c r="J387" s="145">
        <f t="shared" si="25"/>
        <v>0.92734306329999994</v>
      </c>
      <c r="K387" s="146">
        <f t="shared" si="26"/>
        <v>90.078753101991083</v>
      </c>
    </row>
    <row r="388" spans="1:11">
      <c r="A388" s="138">
        <f t="shared" si="23"/>
        <v>1.7120250000000001</v>
      </c>
      <c r="B388" s="138">
        <v>1712.0250000000001</v>
      </c>
      <c r="C388" s="138">
        <v>99.748999999999995</v>
      </c>
      <c r="D388" s="138">
        <v>0.251</v>
      </c>
      <c r="E388" s="138">
        <v>99.287999999999997</v>
      </c>
      <c r="F388" s="138">
        <v>0.71199999999999997</v>
      </c>
      <c r="G388" s="138">
        <f t="shared" si="24"/>
        <v>99.287999999999997</v>
      </c>
      <c r="H388" s="138">
        <v>1</v>
      </c>
      <c r="I388" s="138">
        <v>1</v>
      </c>
      <c r="J388" s="145">
        <f t="shared" si="25"/>
        <v>0.92767623249999998</v>
      </c>
      <c r="K388" s="146">
        <f t="shared" si="26"/>
        <v>90.108393316797617</v>
      </c>
    </row>
    <row r="389" spans="1:11">
      <c r="A389" s="138">
        <f t="shared" si="23"/>
        <v>1.71519</v>
      </c>
      <c r="B389" s="138">
        <v>1715.19</v>
      </c>
      <c r="C389" s="138">
        <v>99.748000000000005</v>
      </c>
      <c r="D389" s="138">
        <v>0.252</v>
      </c>
      <c r="E389" s="138">
        <v>99.286000000000001</v>
      </c>
      <c r="F389" s="138">
        <v>0.71399999999999997</v>
      </c>
      <c r="G389" s="138">
        <f t="shared" si="24"/>
        <v>99.286000000000001</v>
      </c>
      <c r="H389" s="138">
        <v>1</v>
      </c>
      <c r="I389" s="138">
        <v>1</v>
      </c>
      <c r="J389" s="145">
        <f t="shared" si="25"/>
        <v>0.92800950699999996</v>
      </c>
      <c r="K389" s="146">
        <f t="shared" si="26"/>
        <v>90.138949675511554</v>
      </c>
    </row>
    <row r="390" spans="1:11">
      <c r="A390" s="138">
        <f t="shared" ref="A390:A453" si="27">B390/1000</f>
        <v>1.7183539999999999</v>
      </c>
      <c r="B390" s="138">
        <v>1718.354</v>
      </c>
      <c r="C390" s="138">
        <v>99.745999999999995</v>
      </c>
      <c r="D390" s="138">
        <v>0.254</v>
      </c>
      <c r="E390" s="138">
        <v>99.281999999999996</v>
      </c>
      <c r="F390" s="138">
        <v>0.71799999999999997</v>
      </c>
      <c r="G390" s="138">
        <f t="shared" ref="G390:G453" si="28">MIN(C390,E390)</f>
        <v>99.281999999999996</v>
      </c>
      <c r="H390" s="138">
        <v>1</v>
      </c>
      <c r="I390" s="138">
        <v>1</v>
      </c>
      <c r="J390" s="145">
        <f t="shared" ref="J390:J453" si="29">MIN(B390/1000*$M$1+$O$1,1)</f>
        <v>0.92834267619999999</v>
      </c>
      <c r="K390" s="146">
        <f t="shared" si="26"/>
        <v>90.167678107035186</v>
      </c>
    </row>
    <row r="391" spans="1:11">
      <c r="A391" s="138">
        <f t="shared" si="27"/>
        <v>1.721519</v>
      </c>
      <c r="B391" s="138">
        <v>1721.519</v>
      </c>
      <c r="C391" s="138">
        <v>99.744</v>
      </c>
      <c r="D391" s="138">
        <v>0.25600000000000001</v>
      </c>
      <c r="E391" s="138">
        <v>99.278999999999996</v>
      </c>
      <c r="F391" s="138">
        <v>0.72099999999999997</v>
      </c>
      <c r="G391" s="138">
        <f t="shared" si="28"/>
        <v>99.278999999999996</v>
      </c>
      <c r="H391" s="138">
        <v>1</v>
      </c>
      <c r="I391" s="138">
        <v>1</v>
      </c>
      <c r="J391" s="145">
        <f t="shared" si="29"/>
        <v>0.92867595069999997</v>
      </c>
      <c r="K391" s="146">
        <f t="shared" ref="K391:K454" si="30">G391*H391*I391*J391*$G$2/100</f>
        <v>90.197322681848163</v>
      </c>
    </row>
    <row r="392" spans="1:11">
      <c r="A392" s="138">
        <f t="shared" si="27"/>
        <v>1.7246839999999999</v>
      </c>
      <c r="B392" s="138">
        <v>1724.684</v>
      </c>
      <c r="C392" s="138">
        <v>99.741</v>
      </c>
      <c r="D392" s="138">
        <v>0.25900000000000001</v>
      </c>
      <c r="E392" s="138">
        <v>99.275000000000006</v>
      </c>
      <c r="F392" s="138">
        <v>0.72499999999999998</v>
      </c>
      <c r="G392" s="138">
        <f t="shared" si="28"/>
        <v>99.275000000000006</v>
      </c>
      <c r="H392" s="138">
        <v>1</v>
      </c>
      <c r="I392" s="138">
        <v>1</v>
      </c>
      <c r="J392" s="145">
        <f t="shared" si="29"/>
        <v>0.92900922519999996</v>
      </c>
      <c r="K392" s="146">
        <f t="shared" si="30"/>
        <v>90.226056450681469</v>
      </c>
    </row>
    <row r="393" spans="1:11">
      <c r="A393" s="138">
        <f t="shared" si="27"/>
        <v>1.7278480000000001</v>
      </c>
      <c r="B393" s="138">
        <v>1727.848</v>
      </c>
      <c r="C393" s="138">
        <v>99.738</v>
      </c>
      <c r="D393" s="138">
        <v>0.26200000000000001</v>
      </c>
      <c r="E393" s="138">
        <v>99.271000000000001</v>
      </c>
      <c r="F393" s="138">
        <v>0.72899999999999998</v>
      </c>
      <c r="G393" s="138">
        <f t="shared" si="28"/>
        <v>99.271000000000001</v>
      </c>
      <c r="H393" s="138">
        <v>1</v>
      </c>
      <c r="I393" s="138">
        <v>1</v>
      </c>
      <c r="J393" s="145">
        <f t="shared" si="29"/>
        <v>0.92934239439999999</v>
      </c>
      <c r="K393" s="146">
        <f t="shared" si="30"/>
        <v>90.25477738477413</v>
      </c>
    </row>
    <row r="394" spans="1:11">
      <c r="A394" s="138">
        <f t="shared" si="27"/>
        <v>1.7310129999999999</v>
      </c>
      <c r="B394" s="138">
        <v>1731.0129999999999</v>
      </c>
      <c r="C394" s="138">
        <v>99.733999999999995</v>
      </c>
      <c r="D394" s="138">
        <v>0.26600000000000001</v>
      </c>
      <c r="E394" s="138">
        <v>99.266000000000005</v>
      </c>
      <c r="F394" s="138">
        <v>0.73399999999999999</v>
      </c>
      <c r="G394" s="138">
        <f t="shared" si="28"/>
        <v>99.266000000000005</v>
      </c>
      <c r="H394" s="138">
        <v>1</v>
      </c>
      <c r="I394" s="138">
        <v>1</v>
      </c>
      <c r="J394" s="145">
        <f t="shared" si="29"/>
        <v>0.92967566889999997</v>
      </c>
      <c r="K394" s="146">
        <f t="shared" si="30"/>
        <v>90.282596435633494</v>
      </c>
    </row>
    <row r="395" spans="1:11">
      <c r="A395" s="138">
        <f t="shared" si="27"/>
        <v>1.7341769999999999</v>
      </c>
      <c r="B395" s="138">
        <v>1734.1769999999999</v>
      </c>
      <c r="C395" s="138">
        <v>99.73</v>
      </c>
      <c r="D395" s="138">
        <v>0.27</v>
      </c>
      <c r="E395" s="138">
        <v>99.260999999999996</v>
      </c>
      <c r="F395" s="138">
        <v>0.73899999999999999</v>
      </c>
      <c r="G395" s="138">
        <f t="shared" si="28"/>
        <v>99.260999999999996</v>
      </c>
      <c r="H395" s="138">
        <v>1</v>
      </c>
      <c r="I395" s="138">
        <v>1</v>
      </c>
      <c r="J395" s="145">
        <f t="shared" si="29"/>
        <v>0.93000883810000001</v>
      </c>
      <c r="K395" s="146">
        <f t="shared" si="30"/>
        <v>90.310402000697522</v>
      </c>
    </row>
    <row r="396" spans="1:11">
      <c r="A396" s="138">
        <f t="shared" si="27"/>
        <v>1.7373420000000002</v>
      </c>
      <c r="B396" s="138">
        <v>1737.3420000000001</v>
      </c>
      <c r="C396" s="138">
        <v>99.724999999999994</v>
      </c>
      <c r="D396" s="138">
        <v>0.27500000000000002</v>
      </c>
      <c r="E396" s="138">
        <v>99.254999999999995</v>
      </c>
      <c r="F396" s="138">
        <v>0.745</v>
      </c>
      <c r="G396" s="138">
        <f t="shared" si="28"/>
        <v>99.254999999999995</v>
      </c>
      <c r="H396" s="138">
        <v>1</v>
      </c>
      <c r="I396" s="138">
        <v>1</v>
      </c>
      <c r="J396" s="145">
        <f t="shared" si="29"/>
        <v>0.93034211259999999</v>
      </c>
      <c r="K396" s="146">
        <f t="shared" si="30"/>
        <v>90.337304377534352</v>
      </c>
    </row>
    <row r="397" spans="1:11">
      <c r="A397" s="138">
        <f t="shared" si="27"/>
        <v>1.7405060000000001</v>
      </c>
      <c r="B397" s="138">
        <v>1740.5060000000001</v>
      </c>
      <c r="C397" s="138">
        <v>99.72</v>
      </c>
      <c r="D397" s="138">
        <v>0.28000000000000003</v>
      </c>
      <c r="E397" s="138">
        <v>99.248999999999995</v>
      </c>
      <c r="F397" s="138">
        <v>0.751</v>
      </c>
      <c r="G397" s="138">
        <f t="shared" si="28"/>
        <v>99.248999999999995</v>
      </c>
      <c r="H397" s="138">
        <v>1</v>
      </c>
      <c r="I397" s="138">
        <v>1</v>
      </c>
      <c r="J397" s="145">
        <f t="shared" si="29"/>
        <v>0.93067528179999992</v>
      </c>
      <c r="K397" s="146">
        <f t="shared" si="30"/>
        <v>90.364192617727099</v>
      </c>
    </row>
    <row r="398" spans="1:11">
      <c r="A398" s="138">
        <f t="shared" si="27"/>
        <v>1.743671</v>
      </c>
      <c r="B398" s="138">
        <v>1743.671</v>
      </c>
      <c r="C398" s="138">
        <v>99.715000000000003</v>
      </c>
      <c r="D398" s="138">
        <v>0.28499999999999998</v>
      </c>
      <c r="E398" s="138">
        <v>99.242999999999995</v>
      </c>
      <c r="F398" s="138">
        <v>0.75700000000000001</v>
      </c>
      <c r="G398" s="138">
        <f t="shared" si="28"/>
        <v>99.242999999999995</v>
      </c>
      <c r="H398" s="138">
        <v>1</v>
      </c>
      <c r="I398" s="138">
        <v>1</v>
      </c>
      <c r="J398" s="145">
        <f t="shared" si="29"/>
        <v>0.9310085562999999</v>
      </c>
      <c r="K398" s="146">
        <f t="shared" si="30"/>
        <v>90.39108717016336</v>
      </c>
    </row>
    <row r="399" spans="1:11">
      <c r="A399" s="138">
        <f t="shared" si="27"/>
        <v>1.7468350000000001</v>
      </c>
      <c r="B399" s="138">
        <v>1746.835</v>
      </c>
      <c r="C399" s="138">
        <v>99.709000000000003</v>
      </c>
      <c r="D399" s="138">
        <v>0.29099999999999998</v>
      </c>
      <c r="E399" s="138">
        <v>99.236999999999995</v>
      </c>
      <c r="F399" s="138">
        <v>0.76300000000000001</v>
      </c>
      <c r="G399" s="138">
        <f t="shared" si="28"/>
        <v>99.236999999999995</v>
      </c>
      <c r="H399" s="138">
        <v>1</v>
      </c>
      <c r="I399" s="138">
        <v>1</v>
      </c>
      <c r="J399" s="145">
        <f t="shared" si="29"/>
        <v>0.93134172549999994</v>
      </c>
      <c r="K399" s="146">
        <f t="shared" si="30"/>
        <v>90.417967587191754</v>
      </c>
    </row>
    <row r="400" spans="1:11">
      <c r="A400" s="138">
        <f t="shared" si="27"/>
        <v>1.75</v>
      </c>
      <c r="B400" s="138">
        <v>1750</v>
      </c>
      <c r="C400" s="138">
        <v>99.701999999999998</v>
      </c>
      <c r="D400" s="138">
        <v>0.29799999999999999</v>
      </c>
      <c r="E400" s="138">
        <v>99.23</v>
      </c>
      <c r="F400" s="138">
        <v>0.77</v>
      </c>
      <c r="G400" s="138">
        <f t="shared" si="28"/>
        <v>99.23</v>
      </c>
      <c r="H400" s="138">
        <v>1</v>
      </c>
      <c r="I400" s="138">
        <v>1</v>
      </c>
      <c r="J400" s="145">
        <f t="shared" si="29"/>
        <v>0.93167500000000003</v>
      </c>
      <c r="K400" s="146">
        <f t="shared" si="30"/>
        <v>90.443942857574996</v>
      </c>
    </row>
    <row r="401" spans="1:11">
      <c r="A401" s="138">
        <f t="shared" si="27"/>
        <v>1.7531649999999999</v>
      </c>
      <c r="B401" s="138">
        <v>1753.165</v>
      </c>
      <c r="C401" s="138">
        <v>99.694999999999993</v>
      </c>
      <c r="D401" s="138">
        <v>0.30499999999999999</v>
      </c>
      <c r="E401" s="138">
        <v>99.221999999999994</v>
      </c>
      <c r="F401" s="138">
        <v>0.77800000000000002</v>
      </c>
      <c r="G401" s="138">
        <f t="shared" si="28"/>
        <v>99.221999999999994</v>
      </c>
      <c r="H401" s="138">
        <v>1</v>
      </c>
      <c r="I401" s="138">
        <v>1</v>
      </c>
      <c r="J401" s="145">
        <f t="shared" si="29"/>
        <v>0.93200827450000001</v>
      </c>
      <c r="K401" s="146">
        <f t="shared" si="30"/>
        <v>90.469001779669071</v>
      </c>
    </row>
    <row r="402" spans="1:11">
      <c r="A402" s="138">
        <f t="shared" si="27"/>
        <v>1.756329</v>
      </c>
      <c r="B402" s="138">
        <v>1756.329</v>
      </c>
      <c r="C402" s="138">
        <v>99.688000000000002</v>
      </c>
      <c r="D402" s="138">
        <v>0.312</v>
      </c>
      <c r="E402" s="138">
        <v>99.215000000000003</v>
      </c>
      <c r="F402" s="138">
        <v>0.78500000000000003</v>
      </c>
      <c r="G402" s="138">
        <f t="shared" si="28"/>
        <v>99.215000000000003</v>
      </c>
      <c r="H402" s="138">
        <v>1</v>
      </c>
      <c r="I402" s="138">
        <v>1</v>
      </c>
      <c r="J402" s="145">
        <f t="shared" si="29"/>
        <v>0.93234144369999994</v>
      </c>
      <c r="K402" s="146">
        <f t="shared" si="30"/>
        <v>90.494957374189198</v>
      </c>
    </row>
    <row r="403" spans="1:11">
      <c r="A403" s="138">
        <f t="shared" si="27"/>
        <v>1.7594939999999999</v>
      </c>
      <c r="B403" s="138">
        <v>1759.4939999999999</v>
      </c>
      <c r="C403" s="138">
        <v>99.68</v>
      </c>
      <c r="D403" s="138">
        <v>0.32</v>
      </c>
      <c r="E403" s="138">
        <v>99.206999999999994</v>
      </c>
      <c r="F403" s="138">
        <v>0.79300000000000004</v>
      </c>
      <c r="G403" s="138">
        <f t="shared" si="28"/>
        <v>99.206999999999994</v>
      </c>
      <c r="H403" s="138">
        <v>1</v>
      </c>
      <c r="I403" s="138">
        <v>1</v>
      </c>
      <c r="J403" s="145">
        <f t="shared" si="29"/>
        <v>0.93267471819999992</v>
      </c>
      <c r="K403" s="146">
        <f t="shared" si="30"/>
        <v>90.520006189791644</v>
      </c>
    </row>
    <row r="404" spans="1:11">
      <c r="A404" s="138">
        <f t="shared" si="27"/>
        <v>1.7626579999999998</v>
      </c>
      <c r="B404" s="138">
        <v>1762.6579999999999</v>
      </c>
      <c r="C404" s="138">
        <v>99.671999999999997</v>
      </c>
      <c r="D404" s="138">
        <v>0.32800000000000001</v>
      </c>
      <c r="E404" s="138">
        <v>99.197999999999993</v>
      </c>
      <c r="F404" s="138">
        <v>0.80200000000000005</v>
      </c>
      <c r="G404" s="138">
        <f t="shared" si="28"/>
        <v>99.197999999999993</v>
      </c>
      <c r="H404" s="138">
        <v>1</v>
      </c>
      <c r="I404" s="138">
        <v>1</v>
      </c>
      <c r="J404" s="145">
        <f t="shared" si="29"/>
        <v>0.93300788739999996</v>
      </c>
      <c r="K404" s="146">
        <f t="shared" si="30"/>
        <v>90.544126808114754</v>
      </c>
    </row>
    <row r="405" spans="1:11">
      <c r="A405" s="138">
        <f t="shared" si="27"/>
        <v>1.7658230000000001</v>
      </c>
      <c r="B405" s="138">
        <v>1765.8230000000001</v>
      </c>
      <c r="C405" s="138">
        <v>99.662999999999997</v>
      </c>
      <c r="D405" s="138">
        <v>0.33700000000000002</v>
      </c>
      <c r="E405" s="138">
        <v>99.19</v>
      </c>
      <c r="F405" s="138">
        <v>0.81</v>
      </c>
      <c r="G405" s="138">
        <f t="shared" si="28"/>
        <v>99.19</v>
      </c>
      <c r="H405" s="138">
        <v>1</v>
      </c>
      <c r="I405" s="138">
        <v>1</v>
      </c>
      <c r="J405" s="145">
        <f t="shared" si="29"/>
        <v>0.93334116189999994</v>
      </c>
      <c r="K405" s="146">
        <f t="shared" si="30"/>
        <v>90.569164865140706</v>
      </c>
    </row>
    <row r="406" spans="1:11">
      <c r="A406" s="138">
        <f t="shared" si="27"/>
        <v>1.7689870000000001</v>
      </c>
      <c r="B406" s="138">
        <v>1768.9870000000001</v>
      </c>
      <c r="C406" s="138">
        <v>99.653999999999996</v>
      </c>
      <c r="D406" s="138">
        <v>0.34599999999999997</v>
      </c>
      <c r="E406" s="138">
        <v>99.180999999999997</v>
      </c>
      <c r="F406" s="138">
        <v>0.81899999999999995</v>
      </c>
      <c r="G406" s="138">
        <f t="shared" si="28"/>
        <v>99.180999999999997</v>
      </c>
      <c r="H406" s="138">
        <v>1</v>
      </c>
      <c r="I406" s="138">
        <v>1</v>
      </c>
      <c r="J406" s="145">
        <f t="shared" si="29"/>
        <v>0.93367433109999998</v>
      </c>
      <c r="K406" s="146">
        <f t="shared" si="30"/>
        <v>90.593274074656705</v>
      </c>
    </row>
    <row r="407" spans="1:11">
      <c r="A407" s="138">
        <f t="shared" si="27"/>
        <v>1.7721519999999999</v>
      </c>
      <c r="B407" s="138">
        <v>1772.152</v>
      </c>
      <c r="C407" s="138">
        <v>99.644999999999996</v>
      </c>
      <c r="D407" s="138">
        <v>0.35499999999999998</v>
      </c>
      <c r="E407" s="138">
        <v>99.171000000000006</v>
      </c>
      <c r="F407" s="138">
        <v>0.82899999999999996</v>
      </c>
      <c r="G407" s="138">
        <f t="shared" si="28"/>
        <v>99.171000000000006</v>
      </c>
      <c r="H407" s="138">
        <v>1</v>
      </c>
      <c r="I407" s="138">
        <v>1</v>
      </c>
      <c r="J407" s="145">
        <f t="shared" si="29"/>
        <v>0.93400760559999996</v>
      </c>
      <c r="K407" s="146">
        <f t="shared" si="30"/>
        <v>90.616473893825017</v>
      </c>
    </row>
    <row r="408" spans="1:11">
      <c r="A408" s="138">
        <f t="shared" si="27"/>
        <v>1.7753160000000001</v>
      </c>
      <c r="B408" s="138">
        <v>1775.316</v>
      </c>
      <c r="C408" s="138">
        <v>99.635000000000005</v>
      </c>
      <c r="D408" s="138">
        <v>0.36499999999999999</v>
      </c>
      <c r="E408" s="138">
        <v>99.162000000000006</v>
      </c>
      <c r="F408" s="138">
        <v>0.83799999999999997</v>
      </c>
      <c r="G408" s="138">
        <f t="shared" si="28"/>
        <v>99.162000000000006</v>
      </c>
      <c r="H408" s="138">
        <v>1</v>
      </c>
      <c r="I408" s="138">
        <v>1</v>
      </c>
      <c r="J408" s="145">
        <f t="shared" si="29"/>
        <v>0.9343407748</v>
      </c>
      <c r="K408" s="146">
        <f t="shared" si="30"/>
        <v>90.640571042655026</v>
      </c>
    </row>
    <row r="409" spans="1:11">
      <c r="A409" s="138">
        <f t="shared" si="27"/>
        <v>1.778481</v>
      </c>
      <c r="B409" s="138">
        <v>1778.481</v>
      </c>
      <c r="C409" s="138">
        <v>99.625</v>
      </c>
      <c r="D409" s="138">
        <v>0.375</v>
      </c>
      <c r="E409" s="138">
        <v>99.152000000000001</v>
      </c>
      <c r="F409" s="138">
        <v>0.84799999999999998</v>
      </c>
      <c r="G409" s="138">
        <f t="shared" si="28"/>
        <v>99.152000000000001</v>
      </c>
      <c r="H409" s="138">
        <v>1</v>
      </c>
      <c r="I409" s="138">
        <v>1</v>
      </c>
      <c r="J409" s="145">
        <f t="shared" si="29"/>
        <v>0.93467404929999998</v>
      </c>
      <c r="K409" s="146">
        <f t="shared" si="30"/>
        <v>90.66375814719818</v>
      </c>
    </row>
    <row r="410" spans="1:11">
      <c r="A410" s="138">
        <f t="shared" si="27"/>
        <v>1.7816460000000001</v>
      </c>
      <c r="B410" s="138">
        <v>1781.646</v>
      </c>
      <c r="C410" s="138">
        <v>99.614000000000004</v>
      </c>
      <c r="D410" s="138">
        <v>0.38600000000000001</v>
      </c>
      <c r="E410" s="138">
        <v>99.141000000000005</v>
      </c>
      <c r="F410" s="138">
        <v>0.85899999999999999</v>
      </c>
      <c r="G410" s="138">
        <f t="shared" si="28"/>
        <v>99.141000000000005</v>
      </c>
      <c r="H410" s="138">
        <v>1</v>
      </c>
      <c r="I410" s="138">
        <v>1</v>
      </c>
      <c r="J410" s="145">
        <f t="shared" si="29"/>
        <v>0.93500732379999996</v>
      </c>
      <c r="K410" s="146">
        <f t="shared" si="30"/>
        <v>90.686024013227637</v>
      </c>
    </row>
    <row r="411" spans="1:11">
      <c r="A411" s="138">
        <f t="shared" si="27"/>
        <v>1.78481</v>
      </c>
      <c r="B411" s="138">
        <v>1784.81</v>
      </c>
      <c r="C411" s="138">
        <v>99.602999999999994</v>
      </c>
      <c r="D411" s="138">
        <v>0.39700000000000002</v>
      </c>
      <c r="E411" s="138">
        <v>99.131</v>
      </c>
      <c r="F411" s="138">
        <v>0.86899999999999999</v>
      </c>
      <c r="G411" s="138">
        <f t="shared" si="28"/>
        <v>99.131</v>
      </c>
      <c r="H411" s="138">
        <v>1</v>
      </c>
      <c r="I411" s="138">
        <v>1</v>
      </c>
      <c r="J411" s="145">
        <f t="shared" si="29"/>
        <v>0.935340493</v>
      </c>
      <c r="K411" s="146">
        <f t="shared" si="30"/>
        <v>90.709187538051651</v>
      </c>
    </row>
    <row r="412" spans="1:11">
      <c r="A412" s="138">
        <f t="shared" si="27"/>
        <v>1.7879749999999999</v>
      </c>
      <c r="B412" s="138">
        <v>1787.9749999999999</v>
      </c>
      <c r="C412" s="138">
        <v>99.591999999999999</v>
      </c>
      <c r="D412" s="138">
        <v>0.40799999999999997</v>
      </c>
      <c r="E412" s="138">
        <v>99.12</v>
      </c>
      <c r="F412" s="138">
        <v>0.88</v>
      </c>
      <c r="G412" s="138">
        <f t="shared" si="28"/>
        <v>99.12</v>
      </c>
      <c r="H412" s="138">
        <v>1</v>
      </c>
      <c r="I412" s="138">
        <v>1</v>
      </c>
      <c r="J412" s="145">
        <f t="shared" si="29"/>
        <v>0.93567376749999998</v>
      </c>
      <c r="K412" s="146">
        <f t="shared" si="30"/>
        <v>90.73143938538918</v>
      </c>
    </row>
    <row r="413" spans="1:11">
      <c r="A413" s="138">
        <f t="shared" si="27"/>
        <v>1.7911389999999998</v>
      </c>
      <c r="B413" s="138">
        <v>1791.1389999999999</v>
      </c>
      <c r="C413" s="138">
        <v>99.58</v>
      </c>
      <c r="D413" s="138">
        <v>0.42</v>
      </c>
      <c r="E413" s="138">
        <v>99.108999999999995</v>
      </c>
      <c r="F413" s="138">
        <v>0.89100000000000001</v>
      </c>
      <c r="G413" s="138">
        <f t="shared" si="28"/>
        <v>99.108999999999995</v>
      </c>
      <c r="H413" s="138">
        <v>1</v>
      </c>
      <c r="I413" s="138">
        <v>1</v>
      </c>
      <c r="J413" s="145">
        <f t="shared" si="29"/>
        <v>0.9360069366999999</v>
      </c>
      <c r="K413" s="146">
        <f t="shared" si="30"/>
        <v>90.75367385008029</v>
      </c>
    </row>
    <row r="414" spans="1:11">
      <c r="A414" s="138">
        <f t="shared" si="27"/>
        <v>1.7943040000000001</v>
      </c>
      <c r="B414" s="138">
        <v>1794.3040000000001</v>
      </c>
      <c r="C414" s="138">
        <v>99.567999999999998</v>
      </c>
      <c r="D414" s="138">
        <v>0.432</v>
      </c>
      <c r="E414" s="138">
        <v>99.096999999999994</v>
      </c>
      <c r="F414" s="138">
        <v>0.90300000000000002</v>
      </c>
      <c r="G414" s="138">
        <f t="shared" si="28"/>
        <v>99.096999999999994</v>
      </c>
      <c r="H414" s="138">
        <v>1</v>
      </c>
      <c r="I414" s="138">
        <v>1</v>
      </c>
      <c r="J414" s="145">
        <f t="shared" si="29"/>
        <v>0.93634021119999999</v>
      </c>
      <c r="K414" s="146">
        <f t="shared" si="30"/>
        <v>90.774995331054882</v>
      </c>
    </row>
    <row r="415" spans="1:11">
      <c r="A415" s="138">
        <f t="shared" si="27"/>
        <v>1.7974680000000001</v>
      </c>
      <c r="B415" s="138">
        <v>1797.4680000000001</v>
      </c>
      <c r="C415" s="138">
        <v>99.555999999999997</v>
      </c>
      <c r="D415" s="138">
        <v>0.44400000000000001</v>
      </c>
      <c r="E415" s="138">
        <v>99.084999999999994</v>
      </c>
      <c r="F415" s="138">
        <v>0.91500000000000004</v>
      </c>
      <c r="G415" s="138">
        <f t="shared" si="28"/>
        <v>99.084999999999994</v>
      </c>
      <c r="H415" s="138">
        <v>1</v>
      </c>
      <c r="I415" s="138">
        <v>1</v>
      </c>
      <c r="J415" s="145">
        <f t="shared" si="29"/>
        <v>0.93667338040000003</v>
      </c>
      <c r="K415" s="146">
        <f t="shared" si="30"/>
        <v>90.796298779770538</v>
      </c>
    </row>
    <row r="416" spans="1:11">
      <c r="A416" s="138">
        <f t="shared" si="27"/>
        <v>1.8006329999999999</v>
      </c>
      <c r="B416" s="138">
        <v>1800.633</v>
      </c>
      <c r="C416" s="138">
        <v>99.543000000000006</v>
      </c>
      <c r="D416" s="138">
        <v>0.45700000000000002</v>
      </c>
      <c r="E416" s="138">
        <v>99.072999999999993</v>
      </c>
      <c r="F416" s="138">
        <v>0.92700000000000005</v>
      </c>
      <c r="G416" s="138">
        <f t="shared" si="28"/>
        <v>99.072999999999993</v>
      </c>
      <c r="H416" s="138">
        <v>1</v>
      </c>
      <c r="I416" s="138">
        <v>1</v>
      </c>
      <c r="J416" s="145">
        <f t="shared" si="29"/>
        <v>0.93700665490000001</v>
      </c>
      <c r="K416" s="146">
        <f t="shared" si="30"/>
        <v>90.817604611944006</v>
      </c>
    </row>
    <row r="417" spans="1:11">
      <c r="A417" s="138">
        <f t="shared" si="27"/>
        <v>1.8037970000000001</v>
      </c>
      <c r="B417" s="138">
        <v>1803.797</v>
      </c>
      <c r="C417" s="138">
        <v>99.528999999999996</v>
      </c>
      <c r="D417" s="138">
        <v>0.47099999999999997</v>
      </c>
      <c r="E417" s="138">
        <v>99.06</v>
      </c>
      <c r="F417" s="138">
        <v>0.94</v>
      </c>
      <c r="G417" s="138">
        <f t="shared" si="28"/>
        <v>99.06</v>
      </c>
      <c r="H417" s="138">
        <v>1</v>
      </c>
      <c r="I417" s="138">
        <v>1</v>
      </c>
      <c r="J417" s="145">
        <f t="shared" si="29"/>
        <v>0.93733982409999994</v>
      </c>
      <c r="K417" s="146">
        <f t="shared" si="30"/>
        <v>90.837975414780971</v>
      </c>
    </row>
    <row r="418" spans="1:11">
      <c r="A418" s="138">
        <f t="shared" si="27"/>
        <v>1.806962</v>
      </c>
      <c r="B418" s="138">
        <v>1806.962</v>
      </c>
      <c r="C418" s="138">
        <v>99.516000000000005</v>
      </c>
      <c r="D418" s="138">
        <v>0.48399999999999999</v>
      </c>
      <c r="E418" s="138">
        <v>99.048000000000002</v>
      </c>
      <c r="F418" s="138">
        <v>0.95199999999999996</v>
      </c>
      <c r="G418" s="138">
        <f t="shared" si="28"/>
        <v>99.048000000000002</v>
      </c>
      <c r="H418" s="138">
        <v>1</v>
      </c>
      <c r="I418" s="138">
        <v>1</v>
      </c>
      <c r="J418" s="145">
        <f t="shared" si="29"/>
        <v>0.93767309859999992</v>
      </c>
      <c r="K418" s="146">
        <f t="shared" si="30"/>
        <v>90.859265272110918</v>
      </c>
    </row>
    <row r="419" spans="1:11">
      <c r="A419" s="138">
        <f t="shared" si="27"/>
        <v>1.810127</v>
      </c>
      <c r="B419" s="138">
        <v>1810.127</v>
      </c>
      <c r="C419" s="138">
        <v>99.501999999999995</v>
      </c>
      <c r="D419" s="138">
        <v>0.498</v>
      </c>
      <c r="E419" s="138">
        <v>99.034999999999997</v>
      </c>
      <c r="F419" s="138">
        <v>0.96499999999999997</v>
      </c>
      <c r="G419" s="138">
        <f t="shared" si="28"/>
        <v>99.034999999999997</v>
      </c>
      <c r="H419" s="138">
        <v>1</v>
      </c>
      <c r="I419" s="138">
        <v>1</v>
      </c>
      <c r="J419" s="145">
        <f t="shared" si="29"/>
        <v>0.9380063730999999</v>
      </c>
      <c r="K419" s="146">
        <f t="shared" si="30"/>
        <v>90.879629652787386</v>
      </c>
    </row>
    <row r="420" spans="1:11">
      <c r="A420" s="138">
        <f t="shared" si="27"/>
        <v>1.813291</v>
      </c>
      <c r="B420" s="138">
        <v>1813.2909999999999</v>
      </c>
      <c r="C420" s="138">
        <v>99.486999999999995</v>
      </c>
      <c r="D420" s="138">
        <v>0.51300000000000001</v>
      </c>
      <c r="E420" s="138">
        <v>99.021000000000001</v>
      </c>
      <c r="F420" s="138">
        <v>0.97899999999999998</v>
      </c>
      <c r="G420" s="138">
        <f t="shared" si="28"/>
        <v>99.021000000000001</v>
      </c>
      <c r="H420" s="138">
        <v>1</v>
      </c>
      <c r="I420" s="138">
        <v>1</v>
      </c>
      <c r="J420" s="145">
        <f t="shared" si="29"/>
        <v>0.93833954229999994</v>
      </c>
      <c r="K420" s="146">
        <f t="shared" si="30"/>
        <v>90.899057378035778</v>
      </c>
    </row>
    <row r="421" spans="1:11">
      <c r="A421" s="138">
        <f t="shared" si="27"/>
        <v>1.8164559999999998</v>
      </c>
      <c r="B421" s="138">
        <v>1816.4559999999999</v>
      </c>
      <c r="C421" s="138">
        <v>99.472999999999999</v>
      </c>
      <c r="D421" s="138">
        <v>0.52700000000000002</v>
      </c>
      <c r="E421" s="138">
        <v>99.007999999999996</v>
      </c>
      <c r="F421" s="138">
        <v>0.99199999999999999</v>
      </c>
      <c r="G421" s="138">
        <f t="shared" si="28"/>
        <v>99.007999999999996</v>
      </c>
      <c r="H421" s="138">
        <v>1</v>
      </c>
      <c r="I421" s="138">
        <v>1</v>
      </c>
      <c r="J421" s="145">
        <f t="shared" si="29"/>
        <v>0.93867281679999992</v>
      </c>
      <c r="K421" s="146">
        <f t="shared" si="30"/>
        <v>90.919404479801955</v>
      </c>
    </row>
    <row r="422" spans="1:11">
      <c r="A422" s="138">
        <f t="shared" si="27"/>
        <v>1.8196199999999998</v>
      </c>
      <c r="B422" s="138">
        <v>1819.62</v>
      </c>
      <c r="C422" s="138">
        <v>99.457999999999998</v>
      </c>
      <c r="D422" s="138">
        <v>0.54200000000000004</v>
      </c>
      <c r="E422" s="138">
        <v>98.994</v>
      </c>
      <c r="F422" s="138">
        <v>1.006</v>
      </c>
      <c r="G422" s="138">
        <f t="shared" si="28"/>
        <v>98.994</v>
      </c>
      <c r="H422" s="138">
        <v>1</v>
      </c>
      <c r="I422" s="138">
        <v>1</v>
      </c>
      <c r="J422" s="145">
        <f t="shared" si="29"/>
        <v>0.93900598599999996</v>
      </c>
      <c r="K422" s="146">
        <f t="shared" si="30"/>
        <v>90.938814276939581</v>
      </c>
    </row>
    <row r="423" spans="1:11">
      <c r="A423" s="138">
        <f t="shared" si="27"/>
        <v>1.8227850000000001</v>
      </c>
      <c r="B423" s="138">
        <v>1822.7850000000001</v>
      </c>
      <c r="C423" s="138">
        <v>99.441999999999993</v>
      </c>
      <c r="D423" s="138">
        <v>0.55800000000000005</v>
      </c>
      <c r="E423" s="138">
        <v>98.98</v>
      </c>
      <c r="F423" s="138">
        <v>1.02</v>
      </c>
      <c r="G423" s="138">
        <f t="shared" si="28"/>
        <v>98.98</v>
      </c>
      <c r="H423" s="138">
        <v>1</v>
      </c>
      <c r="I423" s="138">
        <v>1</v>
      </c>
      <c r="J423" s="145">
        <f t="shared" si="29"/>
        <v>0.93933926049999994</v>
      </c>
      <c r="K423" s="146">
        <f t="shared" si="30"/>
        <v>90.958225144196888</v>
      </c>
    </row>
    <row r="424" spans="1:11">
      <c r="A424" s="138">
        <f t="shared" si="27"/>
        <v>1.825949</v>
      </c>
      <c r="B424" s="138">
        <v>1825.9490000000001</v>
      </c>
      <c r="C424" s="138">
        <v>99.427000000000007</v>
      </c>
      <c r="D424" s="138">
        <v>0.57299999999999995</v>
      </c>
      <c r="E424" s="138">
        <v>98.965000000000003</v>
      </c>
      <c r="F424" s="138">
        <v>1.0349999999999999</v>
      </c>
      <c r="G424" s="138">
        <f t="shared" si="28"/>
        <v>98.965000000000003</v>
      </c>
      <c r="H424" s="138">
        <v>1</v>
      </c>
      <c r="I424" s="138">
        <v>1</v>
      </c>
      <c r="J424" s="145">
        <f t="shared" si="29"/>
        <v>0.93967242969999998</v>
      </c>
      <c r="K424" s="146">
        <f t="shared" si="30"/>
        <v>90.97669740574635</v>
      </c>
    </row>
    <row r="425" spans="1:11">
      <c r="A425" s="138">
        <f t="shared" si="27"/>
        <v>1.8291140000000001</v>
      </c>
      <c r="B425" s="138">
        <v>1829.114</v>
      </c>
      <c r="C425" s="138">
        <v>99.411000000000001</v>
      </c>
      <c r="D425" s="138">
        <v>0.58899999999999997</v>
      </c>
      <c r="E425" s="138">
        <v>98.95</v>
      </c>
      <c r="F425" s="138">
        <v>1.05</v>
      </c>
      <c r="G425" s="138">
        <f t="shared" si="28"/>
        <v>98.95</v>
      </c>
      <c r="H425" s="138">
        <v>1</v>
      </c>
      <c r="I425" s="138">
        <v>1</v>
      </c>
      <c r="J425" s="145">
        <f t="shared" si="29"/>
        <v>0.94000570419999996</v>
      </c>
      <c r="K425" s="146">
        <f t="shared" si="30"/>
        <v>90.99517008244618</v>
      </c>
    </row>
    <row r="426" spans="1:11">
      <c r="A426" s="138">
        <f t="shared" si="27"/>
        <v>1.8322780000000001</v>
      </c>
      <c r="B426" s="138">
        <v>1832.278</v>
      </c>
      <c r="C426" s="138">
        <v>99.394000000000005</v>
      </c>
      <c r="D426" s="138">
        <v>0.60599999999999998</v>
      </c>
      <c r="E426" s="138">
        <v>98.935000000000002</v>
      </c>
      <c r="F426" s="138">
        <v>1.0649999999999999</v>
      </c>
      <c r="G426" s="138">
        <f t="shared" si="28"/>
        <v>98.935000000000002</v>
      </c>
      <c r="H426" s="138">
        <v>1</v>
      </c>
      <c r="I426" s="138">
        <v>1</v>
      </c>
      <c r="J426" s="145">
        <f t="shared" si="29"/>
        <v>0.9403388734</v>
      </c>
      <c r="K426" s="146">
        <f t="shared" si="30"/>
        <v>91.01362278608471</v>
      </c>
    </row>
    <row r="427" spans="1:11">
      <c r="A427" s="138">
        <f t="shared" si="27"/>
        <v>1.8354429999999999</v>
      </c>
      <c r="B427" s="138">
        <v>1835.443</v>
      </c>
      <c r="C427" s="138">
        <v>99.378</v>
      </c>
      <c r="D427" s="138">
        <v>0.622</v>
      </c>
      <c r="E427" s="138">
        <v>98.92</v>
      </c>
      <c r="F427" s="138">
        <v>1.08</v>
      </c>
      <c r="G427" s="138">
        <f t="shared" si="28"/>
        <v>98.92</v>
      </c>
      <c r="H427" s="138">
        <v>1</v>
      </c>
      <c r="I427" s="138">
        <v>1</v>
      </c>
      <c r="J427" s="145">
        <f t="shared" si="29"/>
        <v>0.94067214789999998</v>
      </c>
      <c r="K427" s="146">
        <f t="shared" si="30"/>
        <v>91.032075901783173</v>
      </c>
    </row>
    <row r="428" spans="1:11">
      <c r="A428" s="138">
        <f t="shared" si="27"/>
        <v>1.838608</v>
      </c>
      <c r="B428" s="138">
        <v>1838.6079999999999</v>
      </c>
      <c r="C428" s="138">
        <v>99.361000000000004</v>
      </c>
      <c r="D428" s="138">
        <v>0.63900000000000001</v>
      </c>
      <c r="E428" s="138">
        <v>98.905000000000001</v>
      </c>
      <c r="F428" s="138">
        <v>1.095</v>
      </c>
      <c r="G428" s="138">
        <f t="shared" si="28"/>
        <v>98.905000000000001</v>
      </c>
      <c r="H428" s="138">
        <v>1</v>
      </c>
      <c r="I428" s="138">
        <v>1</v>
      </c>
      <c r="J428" s="145">
        <f t="shared" si="29"/>
        <v>0.94100542239999996</v>
      </c>
      <c r="K428" s="146">
        <f t="shared" si="30"/>
        <v>91.050519236208345</v>
      </c>
    </row>
    <row r="429" spans="1:11">
      <c r="A429" s="138">
        <f t="shared" si="27"/>
        <v>1.841772</v>
      </c>
      <c r="B429" s="138">
        <v>1841.7719999999999</v>
      </c>
      <c r="C429" s="138">
        <v>99.343000000000004</v>
      </c>
      <c r="D429" s="138">
        <v>0.65700000000000003</v>
      </c>
      <c r="E429" s="138">
        <v>98.888999999999996</v>
      </c>
      <c r="F429" s="138">
        <v>1.111</v>
      </c>
      <c r="G429" s="138">
        <f t="shared" si="28"/>
        <v>98.888999999999996</v>
      </c>
      <c r="H429" s="138">
        <v>1</v>
      </c>
      <c r="I429" s="138">
        <v>1</v>
      </c>
      <c r="J429" s="145">
        <f t="shared" si="29"/>
        <v>0.9413385916</v>
      </c>
      <c r="K429" s="146">
        <f t="shared" si="30"/>
        <v>91.068021690663699</v>
      </c>
    </row>
    <row r="430" spans="1:11">
      <c r="A430" s="138">
        <f t="shared" si="27"/>
        <v>1.8449369999999998</v>
      </c>
      <c r="B430" s="138">
        <v>1844.9369999999999</v>
      </c>
      <c r="C430" s="138">
        <v>99.325999999999993</v>
      </c>
      <c r="D430" s="138">
        <v>0.67400000000000004</v>
      </c>
      <c r="E430" s="138">
        <v>98.873000000000005</v>
      </c>
      <c r="F430" s="138">
        <v>1.127</v>
      </c>
      <c r="G430" s="138">
        <f t="shared" si="28"/>
        <v>98.873000000000005</v>
      </c>
      <c r="H430" s="138">
        <v>1</v>
      </c>
      <c r="I430" s="138">
        <v>1</v>
      </c>
      <c r="J430" s="145">
        <f t="shared" si="29"/>
        <v>0.94167186609999998</v>
      </c>
      <c r="K430" s="146">
        <f t="shared" si="30"/>
        <v>91.08552390045844</v>
      </c>
    </row>
    <row r="431" spans="1:11">
      <c r="A431" s="138">
        <f t="shared" si="27"/>
        <v>1.8481010000000002</v>
      </c>
      <c r="B431" s="138">
        <v>1848.1010000000001</v>
      </c>
      <c r="C431" s="138">
        <v>99.308000000000007</v>
      </c>
      <c r="D431" s="138">
        <v>0.69199999999999995</v>
      </c>
      <c r="E431" s="138">
        <v>98.856999999999999</v>
      </c>
      <c r="F431" s="138">
        <v>1.143</v>
      </c>
      <c r="G431" s="138">
        <f t="shared" si="28"/>
        <v>98.856999999999999</v>
      </c>
      <c r="H431" s="138">
        <v>1</v>
      </c>
      <c r="I431" s="138">
        <v>1</v>
      </c>
      <c r="J431" s="145">
        <f t="shared" si="29"/>
        <v>0.94200503530000002</v>
      </c>
      <c r="K431" s="146">
        <f t="shared" si="30"/>
        <v>91.103005493142149</v>
      </c>
    </row>
    <row r="432" spans="1:11">
      <c r="A432" s="138">
        <f t="shared" si="27"/>
        <v>1.8512660000000001</v>
      </c>
      <c r="B432" s="138">
        <v>1851.2660000000001</v>
      </c>
      <c r="C432" s="138">
        <v>99.29</v>
      </c>
      <c r="D432" s="138">
        <v>0.71</v>
      </c>
      <c r="E432" s="138">
        <v>98.84</v>
      </c>
      <c r="F432" s="138">
        <v>1.1599999999999999</v>
      </c>
      <c r="G432" s="138">
        <f t="shared" si="28"/>
        <v>98.84</v>
      </c>
      <c r="H432" s="138">
        <v>1</v>
      </c>
      <c r="I432" s="138">
        <v>1</v>
      </c>
      <c r="J432" s="145">
        <f t="shared" si="29"/>
        <v>0.9423383098</v>
      </c>
      <c r="K432" s="146">
        <f t="shared" si="30"/>
        <v>91.11956494830028</v>
      </c>
    </row>
    <row r="433" spans="1:11">
      <c r="A433" s="138">
        <f t="shared" si="27"/>
        <v>1.85443</v>
      </c>
      <c r="B433" s="138">
        <v>1854.43</v>
      </c>
      <c r="C433" s="138">
        <v>99.271000000000001</v>
      </c>
      <c r="D433" s="138">
        <v>0.72899999999999998</v>
      </c>
      <c r="E433" s="138">
        <v>98.823999999999998</v>
      </c>
      <c r="F433" s="138">
        <v>1.1759999999999999</v>
      </c>
      <c r="G433" s="138">
        <f t="shared" si="28"/>
        <v>98.823999999999998</v>
      </c>
      <c r="H433" s="138">
        <v>1</v>
      </c>
      <c r="I433" s="138">
        <v>1</v>
      </c>
      <c r="J433" s="145">
        <f t="shared" si="29"/>
        <v>0.94267147899999992</v>
      </c>
      <c r="K433" s="146">
        <f t="shared" si="30"/>
        <v>91.13702535327289</v>
      </c>
    </row>
    <row r="434" spans="1:11">
      <c r="A434" s="138">
        <f t="shared" si="27"/>
        <v>1.8575950000000001</v>
      </c>
      <c r="B434" s="138">
        <v>1857.595</v>
      </c>
      <c r="C434" s="138">
        <v>99.251999999999995</v>
      </c>
      <c r="D434" s="138">
        <v>0.748</v>
      </c>
      <c r="E434" s="138">
        <v>98.807000000000002</v>
      </c>
      <c r="F434" s="138">
        <v>1.1930000000000001</v>
      </c>
      <c r="G434" s="138">
        <f t="shared" si="28"/>
        <v>98.807000000000002</v>
      </c>
      <c r="H434" s="138">
        <v>1</v>
      </c>
      <c r="I434" s="138">
        <v>1</v>
      </c>
      <c r="J434" s="145">
        <f t="shared" si="29"/>
        <v>0.94300475350000001</v>
      </c>
      <c r="K434" s="146">
        <f t="shared" si="30"/>
        <v>91.153562965338594</v>
      </c>
    </row>
    <row r="435" spans="1:11">
      <c r="A435" s="138">
        <f t="shared" si="27"/>
        <v>1.8607590000000001</v>
      </c>
      <c r="B435" s="138">
        <v>1860.759</v>
      </c>
      <c r="C435" s="138">
        <v>99.233000000000004</v>
      </c>
      <c r="D435" s="138">
        <v>0.76700000000000002</v>
      </c>
      <c r="E435" s="138">
        <v>98.789000000000001</v>
      </c>
      <c r="F435" s="138">
        <v>1.2110000000000001</v>
      </c>
      <c r="G435" s="138">
        <f t="shared" si="28"/>
        <v>98.789000000000001</v>
      </c>
      <c r="H435" s="138">
        <v>1</v>
      </c>
      <c r="I435" s="138">
        <v>1</v>
      </c>
      <c r="J435" s="145">
        <f t="shared" si="29"/>
        <v>0.94333792269999994</v>
      </c>
      <c r="K435" s="146">
        <f t="shared" si="30"/>
        <v>91.169156447620551</v>
      </c>
    </row>
    <row r="436" spans="1:11">
      <c r="A436" s="138">
        <f t="shared" si="27"/>
        <v>1.8639239999999999</v>
      </c>
      <c r="B436" s="138">
        <v>1863.924</v>
      </c>
      <c r="C436" s="138">
        <v>99.213999999999999</v>
      </c>
      <c r="D436" s="138">
        <v>0.78600000000000003</v>
      </c>
      <c r="E436" s="138">
        <v>98.772000000000006</v>
      </c>
      <c r="F436" s="138">
        <v>1.228</v>
      </c>
      <c r="G436" s="138">
        <f t="shared" si="28"/>
        <v>98.772000000000006</v>
      </c>
      <c r="H436" s="138">
        <v>1</v>
      </c>
      <c r="I436" s="138">
        <v>1</v>
      </c>
      <c r="J436" s="145">
        <f t="shared" si="29"/>
        <v>0.94367119719999992</v>
      </c>
      <c r="K436" s="146">
        <f t="shared" si="30"/>
        <v>91.185671564508908</v>
      </c>
    </row>
    <row r="437" spans="1:11">
      <c r="A437" s="138">
        <f t="shared" si="27"/>
        <v>1.867089</v>
      </c>
      <c r="B437" s="138">
        <v>1867.0889999999999</v>
      </c>
      <c r="C437" s="138">
        <v>99.194000000000003</v>
      </c>
      <c r="D437" s="138">
        <v>0.80600000000000005</v>
      </c>
      <c r="E437" s="138">
        <v>98.754000000000005</v>
      </c>
      <c r="F437" s="138">
        <v>1.246</v>
      </c>
      <c r="G437" s="138">
        <f t="shared" si="28"/>
        <v>98.754000000000005</v>
      </c>
      <c r="H437" s="138">
        <v>1</v>
      </c>
      <c r="I437" s="138">
        <v>1</v>
      </c>
      <c r="J437" s="145">
        <f t="shared" si="29"/>
        <v>0.94400447170000001</v>
      </c>
      <c r="K437" s="146">
        <f t="shared" si="30"/>
        <v>91.201252076379518</v>
      </c>
    </row>
    <row r="438" spans="1:11">
      <c r="A438" s="138">
        <f t="shared" si="27"/>
        <v>1.8702529999999999</v>
      </c>
      <c r="B438" s="138">
        <v>1870.2529999999999</v>
      </c>
      <c r="C438" s="138">
        <v>99.174000000000007</v>
      </c>
      <c r="D438" s="138">
        <v>0.82599999999999996</v>
      </c>
      <c r="E438" s="138">
        <v>98.736000000000004</v>
      </c>
      <c r="F438" s="138">
        <v>1.264</v>
      </c>
      <c r="G438" s="138">
        <f t="shared" si="28"/>
        <v>98.736000000000004</v>
      </c>
      <c r="H438" s="138">
        <v>1</v>
      </c>
      <c r="I438" s="138">
        <v>1</v>
      </c>
      <c r="J438" s="145">
        <f t="shared" si="29"/>
        <v>0.94433764089999994</v>
      </c>
      <c r="K438" s="146">
        <f t="shared" si="30"/>
        <v>91.216810679434104</v>
      </c>
    </row>
    <row r="439" spans="1:11">
      <c r="A439" s="138">
        <f t="shared" si="27"/>
        <v>1.8734179999999998</v>
      </c>
      <c r="B439" s="138">
        <v>1873.4179999999999</v>
      </c>
      <c r="C439" s="138">
        <v>99.153999999999996</v>
      </c>
      <c r="D439" s="138">
        <v>0.84599999999999997</v>
      </c>
      <c r="E439" s="138">
        <v>98.718000000000004</v>
      </c>
      <c r="F439" s="138">
        <v>1.282</v>
      </c>
      <c r="G439" s="138">
        <f t="shared" si="28"/>
        <v>98.718000000000004</v>
      </c>
      <c r="H439" s="138">
        <v>1</v>
      </c>
      <c r="I439" s="138">
        <v>1</v>
      </c>
      <c r="J439" s="145">
        <f t="shared" si="29"/>
        <v>0.94467091539999992</v>
      </c>
      <c r="K439" s="146">
        <f t="shared" si="30"/>
        <v>91.232367718103063</v>
      </c>
    </row>
    <row r="440" spans="1:11">
      <c r="A440" s="138">
        <f t="shared" si="27"/>
        <v>1.8765820000000002</v>
      </c>
      <c r="B440" s="138">
        <v>1876.5820000000001</v>
      </c>
      <c r="C440" s="138">
        <v>99.132999999999996</v>
      </c>
      <c r="D440" s="138">
        <v>0.86699999999999999</v>
      </c>
      <c r="E440" s="138">
        <v>98.7</v>
      </c>
      <c r="F440" s="138">
        <v>1.3</v>
      </c>
      <c r="G440" s="138">
        <f t="shared" si="28"/>
        <v>98.7</v>
      </c>
      <c r="H440" s="138">
        <v>1</v>
      </c>
      <c r="I440" s="138">
        <v>1</v>
      </c>
      <c r="J440" s="145">
        <f t="shared" si="29"/>
        <v>0.94500408459999996</v>
      </c>
      <c r="K440" s="146">
        <f t="shared" si="30"/>
        <v>91.247902851664563</v>
      </c>
    </row>
    <row r="441" spans="1:11">
      <c r="A441" s="138">
        <f t="shared" si="27"/>
        <v>1.8797470000000001</v>
      </c>
      <c r="B441" s="138">
        <v>1879.7470000000001</v>
      </c>
      <c r="C441" s="138">
        <v>99.113</v>
      </c>
      <c r="D441" s="138">
        <v>0.88700000000000001</v>
      </c>
      <c r="E441" s="138">
        <v>98.680999999999997</v>
      </c>
      <c r="F441" s="138">
        <v>1.319</v>
      </c>
      <c r="G441" s="138">
        <f t="shared" si="28"/>
        <v>98.680999999999997</v>
      </c>
      <c r="H441" s="138">
        <v>1</v>
      </c>
      <c r="I441" s="138">
        <v>1</v>
      </c>
      <c r="J441" s="145">
        <f t="shared" si="29"/>
        <v>0.94533735909999994</v>
      </c>
      <c r="K441" s="146">
        <f t="shared" si="30"/>
        <v>91.262511593593459</v>
      </c>
    </row>
    <row r="442" spans="1:11">
      <c r="A442" s="138">
        <f t="shared" si="27"/>
        <v>1.882911</v>
      </c>
      <c r="B442" s="138">
        <v>1882.9110000000001</v>
      </c>
      <c r="C442" s="138">
        <v>99.091999999999999</v>
      </c>
      <c r="D442" s="138">
        <v>0.90800000000000003</v>
      </c>
      <c r="E442" s="138">
        <v>98.662999999999997</v>
      </c>
      <c r="F442" s="138">
        <v>1.337</v>
      </c>
      <c r="G442" s="138">
        <f t="shared" si="28"/>
        <v>98.662999999999997</v>
      </c>
      <c r="H442" s="138">
        <v>1</v>
      </c>
      <c r="I442" s="138">
        <v>1</v>
      </c>
      <c r="J442" s="145">
        <f t="shared" si="29"/>
        <v>0.94567052829999998</v>
      </c>
      <c r="K442" s="146">
        <f t="shared" si="30"/>
        <v>91.278022931722404</v>
      </c>
    </row>
    <row r="443" spans="1:11">
      <c r="A443" s="138">
        <f t="shared" si="27"/>
        <v>1.8860760000000001</v>
      </c>
      <c r="B443" s="138">
        <v>1886.076</v>
      </c>
      <c r="C443" s="138">
        <v>99.07</v>
      </c>
      <c r="D443" s="138">
        <v>0.93</v>
      </c>
      <c r="E443" s="138">
        <v>98.644000000000005</v>
      </c>
      <c r="F443" s="138">
        <v>1.3560000000000001</v>
      </c>
      <c r="G443" s="138">
        <f t="shared" si="28"/>
        <v>98.644000000000005</v>
      </c>
      <c r="H443" s="138">
        <v>1</v>
      </c>
      <c r="I443" s="138">
        <v>1</v>
      </c>
      <c r="J443" s="145">
        <f t="shared" si="29"/>
        <v>0.94600380279999996</v>
      </c>
      <c r="K443" s="146">
        <f t="shared" si="30"/>
        <v>91.292607222425346</v>
      </c>
    </row>
    <row r="444" spans="1:11">
      <c r="A444" s="138">
        <f t="shared" si="27"/>
        <v>1.8892409999999999</v>
      </c>
      <c r="B444" s="138">
        <v>1889.241</v>
      </c>
      <c r="C444" s="138">
        <v>99.049000000000007</v>
      </c>
      <c r="D444" s="138">
        <v>0.95099999999999996</v>
      </c>
      <c r="E444" s="138">
        <v>98.625</v>
      </c>
      <c r="F444" s="138">
        <v>1.375</v>
      </c>
      <c r="G444" s="138">
        <f t="shared" si="28"/>
        <v>98.625</v>
      </c>
      <c r="H444" s="138">
        <v>1</v>
      </c>
      <c r="I444" s="138">
        <v>1</v>
      </c>
      <c r="J444" s="145">
        <f t="shared" si="29"/>
        <v>0.94633707729999994</v>
      </c>
      <c r="K444" s="146">
        <f t="shared" si="30"/>
        <v>91.307179123515439</v>
      </c>
    </row>
    <row r="445" spans="1:11">
      <c r="A445" s="138">
        <f t="shared" si="27"/>
        <v>1.8924049999999999</v>
      </c>
      <c r="B445" s="138">
        <v>1892.405</v>
      </c>
      <c r="C445" s="138">
        <v>99.027000000000001</v>
      </c>
      <c r="D445" s="138">
        <v>0.97299999999999998</v>
      </c>
      <c r="E445" s="138">
        <v>98.605000000000004</v>
      </c>
      <c r="F445" s="138">
        <v>1.395</v>
      </c>
      <c r="G445" s="138">
        <f t="shared" si="28"/>
        <v>98.605000000000004</v>
      </c>
      <c r="H445" s="138">
        <v>1</v>
      </c>
      <c r="I445" s="138">
        <v>1</v>
      </c>
      <c r="J445" s="145">
        <f t="shared" si="29"/>
        <v>0.94667024649999998</v>
      </c>
      <c r="K445" s="146">
        <f t="shared" si="30"/>
        <v>91.320802349594416</v>
      </c>
    </row>
    <row r="446" spans="1:11">
      <c r="A446" s="138">
        <f t="shared" si="27"/>
        <v>1.89557</v>
      </c>
      <c r="B446" s="138">
        <v>1895.57</v>
      </c>
      <c r="C446" s="138">
        <v>99.004999999999995</v>
      </c>
      <c r="D446" s="138">
        <v>0.995</v>
      </c>
      <c r="E446" s="138">
        <v>98.585999999999999</v>
      </c>
      <c r="F446" s="138">
        <v>1.4139999999999999</v>
      </c>
      <c r="G446" s="138">
        <f t="shared" si="28"/>
        <v>98.585999999999999</v>
      </c>
      <c r="H446" s="138">
        <v>1</v>
      </c>
      <c r="I446" s="138">
        <v>1</v>
      </c>
      <c r="J446" s="145">
        <f t="shared" si="29"/>
        <v>0.94700352099999996</v>
      </c>
      <c r="K446" s="146">
        <f t="shared" si="30"/>
        <v>91.335349147373648</v>
      </c>
    </row>
    <row r="447" spans="1:11">
      <c r="A447" s="138">
        <f t="shared" si="27"/>
        <v>1.8987339999999999</v>
      </c>
      <c r="B447" s="138">
        <v>1898.7339999999999</v>
      </c>
      <c r="C447" s="138">
        <v>98.983000000000004</v>
      </c>
      <c r="D447" s="138">
        <v>1.0169999999999999</v>
      </c>
      <c r="E447" s="138">
        <v>98.566000000000003</v>
      </c>
      <c r="F447" s="138">
        <v>1.4339999999999999</v>
      </c>
      <c r="G447" s="138">
        <f t="shared" si="28"/>
        <v>98.566000000000003</v>
      </c>
      <c r="H447" s="138">
        <v>1</v>
      </c>
      <c r="I447" s="138">
        <v>1</v>
      </c>
      <c r="J447" s="145">
        <f t="shared" si="29"/>
        <v>0.9473366902</v>
      </c>
      <c r="K447" s="146">
        <f t="shared" si="30"/>
        <v>91.348946622177493</v>
      </c>
    </row>
    <row r="448" spans="1:11">
      <c r="A448" s="138">
        <f t="shared" si="27"/>
        <v>1.9018989999999998</v>
      </c>
      <c r="B448" s="138">
        <v>1901.8989999999999</v>
      </c>
      <c r="C448" s="138">
        <v>98.96</v>
      </c>
      <c r="D448" s="138">
        <v>1.04</v>
      </c>
      <c r="E448" s="138">
        <v>98.546000000000006</v>
      </c>
      <c r="F448" s="138">
        <v>1.454</v>
      </c>
      <c r="G448" s="138">
        <f t="shared" si="28"/>
        <v>98.546000000000006</v>
      </c>
      <c r="H448" s="138">
        <v>1</v>
      </c>
      <c r="I448" s="138">
        <v>1</v>
      </c>
      <c r="J448" s="145">
        <f t="shared" si="29"/>
        <v>0.94766996469999998</v>
      </c>
      <c r="K448" s="146">
        <f t="shared" si="30"/>
        <v>91.362541211119421</v>
      </c>
    </row>
    <row r="449" spans="1:11">
      <c r="A449" s="138">
        <f t="shared" si="27"/>
        <v>1.9050630000000002</v>
      </c>
      <c r="B449" s="138">
        <v>1905.0630000000001</v>
      </c>
      <c r="C449" s="138">
        <v>98.938000000000002</v>
      </c>
      <c r="D449" s="138">
        <v>1.0620000000000001</v>
      </c>
      <c r="E449" s="138">
        <v>98.525999999999996</v>
      </c>
      <c r="F449" s="138">
        <v>1.474</v>
      </c>
      <c r="G449" s="138">
        <f t="shared" si="28"/>
        <v>98.525999999999996</v>
      </c>
      <c r="H449" s="138">
        <v>1</v>
      </c>
      <c r="I449" s="138">
        <v>1</v>
      </c>
      <c r="J449" s="145">
        <f t="shared" si="29"/>
        <v>0.94800313390000002</v>
      </c>
      <c r="K449" s="146">
        <f t="shared" si="30"/>
        <v>91.376112608708681</v>
      </c>
    </row>
    <row r="450" spans="1:11">
      <c r="A450" s="138">
        <f t="shared" si="27"/>
        <v>1.908228</v>
      </c>
      <c r="B450" s="138">
        <v>1908.2280000000001</v>
      </c>
      <c r="C450" s="138">
        <v>98.915000000000006</v>
      </c>
      <c r="D450" s="138">
        <v>1.085</v>
      </c>
      <c r="E450" s="138">
        <v>98.504999999999995</v>
      </c>
      <c r="F450" s="138">
        <v>1.4950000000000001</v>
      </c>
      <c r="G450" s="138">
        <f t="shared" si="28"/>
        <v>98.504999999999995</v>
      </c>
      <c r="H450" s="138">
        <v>1</v>
      </c>
      <c r="I450" s="138">
        <v>1</v>
      </c>
      <c r="J450" s="145">
        <f t="shared" si="29"/>
        <v>0.9483364084</v>
      </c>
      <c r="K450" s="146">
        <f t="shared" si="30"/>
        <v>91.388753358807094</v>
      </c>
    </row>
    <row r="451" spans="1:11">
      <c r="A451" s="138">
        <f t="shared" si="27"/>
        <v>1.911392</v>
      </c>
      <c r="B451" s="138">
        <v>1911.3920000000001</v>
      </c>
      <c r="C451" s="138">
        <v>98.891000000000005</v>
      </c>
      <c r="D451" s="138">
        <v>1.109</v>
      </c>
      <c r="E451" s="138">
        <v>98.484999999999999</v>
      </c>
      <c r="F451" s="138">
        <v>1.5149999999999999</v>
      </c>
      <c r="G451" s="138">
        <f t="shared" si="28"/>
        <v>98.484999999999999</v>
      </c>
      <c r="H451" s="138">
        <v>1</v>
      </c>
      <c r="I451" s="138">
        <v>1</v>
      </c>
      <c r="J451" s="145">
        <f t="shared" si="29"/>
        <v>0.94866957759999992</v>
      </c>
      <c r="K451" s="146">
        <f t="shared" si="30"/>
        <v>91.402298353242386</v>
      </c>
    </row>
    <row r="452" spans="1:11">
      <c r="A452" s="138">
        <f t="shared" si="27"/>
        <v>1.9145570000000001</v>
      </c>
      <c r="B452" s="138">
        <v>1914.557</v>
      </c>
      <c r="C452" s="138">
        <v>98.867999999999995</v>
      </c>
      <c r="D452" s="138">
        <v>1.1319999999999999</v>
      </c>
      <c r="E452" s="138">
        <v>98.463999999999999</v>
      </c>
      <c r="F452" s="138">
        <v>1.536</v>
      </c>
      <c r="G452" s="138">
        <f t="shared" si="28"/>
        <v>98.463999999999999</v>
      </c>
      <c r="H452" s="138">
        <v>1</v>
      </c>
      <c r="I452" s="138">
        <v>1</v>
      </c>
      <c r="J452" s="145">
        <f t="shared" si="29"/>
        <v>0.94900285210000002</v>
      </c>
      <c r="K452" s="146">
        <f t="shared" si="30"/>
        <v>91.414912043981317</v>
      </c>
    </row>
    <row r="453" spans="1:11">
      <c r="A453" s="138">
        <f t="shared" si="27"/>
        <v>1.9177219999999999</v>
      </c>
      <c r="B453" s="138">
        <v>1917.722</v>
      </c>
      <c r="C453" s="138">
        <v>98.843999999999994</v>
      </c>
      <c r="D453" s="138">
        <v>1.1559999999999999</v>
      </c>
      <c r="E453" s="138">
        <v>98.442999999999998</v>
      </c>
      <c r="F453" s="138">
        <v>1.5569999999999999</v>
      </c>
      <c r="G453" s="138">
        <f t="shared" si="28"/>
        <v>98.442999999999998</v>
      </c>
      <c r="H453" s="138">
        <v>1</v>
      </c>
      <c r="I453" s="138">
        <v>1</v>
      </c>
      <c r="J453" s="145">
        <f t="shared" si="29"/>
        <v>0.9493361266</v>
      </c>
      <c r="K453" s="146">
        <f t="shared" si="30"/>
        <v>91.427512040937614</v>
      </c>
    </row>
    <row r="454" spans="1:11">
      <c r="A454" s="138">
        <f t="shared" ref="A454:A517" si="31">B454/1000</f>
        <v>1.9208859999999999</v>
      </c>
      <c r="B454" s="138">
        <v>1920.886</v>
      </c>
      <c r="C454" s="138">
        <v>98.82</v>
      </c>
      <c r="D454" s="138">
        <v>1.18</v>
      </c>
      <c r="E454" s="138">
        <v>98.421999999999997</v>
      </c>
      <c r="F454" s="138">
        <v>1.5780000000000001</v>
      </c>
      <c r="G454" s="138">
        <f t="shared" ref="G454:G517" si="32">MIN(C454,E454)</f>
        <v>98.421999999999997</v>
      </c>
      <c r="H454" s="138">
        <v>1</v>
      </c>
      <c r="I454" s="138">
        <v>1</v>
      </c>
      <c r="J454" s="145">
        <f t="shared" ref="J454:J517" si="33">MIN(B454/1000*$M$1+$O$1,1)</f>
        <v>0.94966929579999992</v>
      </c>
      <c r="K454" s="146">
        <f t="shared" si="30"/>
        <v>91.440088205169943</v>
      </c>
    </row>
    <row r="455" spans="1:11">
      <c r="A455" s="138">
        <f t="shared" si="31"/>
        <v>1.924051</v>
      </c>
      <c r="B455" s="138">
        <v>1924.0509999999999</v>
      </c>
      <c r="C455" s="138">
        <v>98.796000000000006</v>
      </c>
      <c r="D455" s="138">
        <v>1.204</v>
      </c>
      <c r="E455" s="138">
        <v>98.400999999999996</v>
      </c>
      <c r="F455" s="138">
        <v>1.599</v>
      </c>
      <c r="G455" s="138">
        <f t="shared" si="32"/>
        <v>98.400999999999996</v>
      </c>
      <c r="H455" s="138">
        <v>1</v>
      </c>
      <c r="I455" s="138">
        <v>1</v>
      </c>
      <c r="J455" s="145">
        <f t="shared" si="33"/>
        <v>0.9500025702999999</v>
      </c>
      <c r="K455" s="146">
        <f t="shared" ref="K455:K518" si="34">G455*H455*I455*J455*$G$2/100</f>
        <v>91.452660816724332</v>
      </c>
    </row>
    <row r="456" spans="1:11">
      <c r="A456" s="138">
        <f t="shared" si="31"/>
        <v>1.9272149999999999</v>
      </c>
      <c r="B456" s="138">
        <v>1927.2149999999999</v>
      </c>
      <c r="C456" s="138">
        <v>98.772000000000006</v>
      </c>
      <c r="D456" s="138">
        <v>1.228</v>
      </c>
      <c r="E456" s="138">
        <v>98.379000000000005</v>
      </c>
      <c r="F456" s="138">
        <v>1.621</v>
      </c>
      <c r="G456" s="138">
        <f t="shared" si="32"/>
        <v>98.379000000000005</v>
      </c>
      <c r="H456" s="138">
        <v>1</v>
      </c>
      <c r="I456" s="138">
        <v>1</v>
      </c>
      <c r="J456" s="145">
        <f t="shared" si="33"/>
        <v>0.95033573949999994</v>
      </c>
      <c r="K456" s="146">
        <f t="shared" si="34"/>
        <v>91.464279886427434</v>
      </c>
    </row>
    <row r="457" spans="1:11">
      <c r="A457" s="138">
        <f t="shared" si="31"/>
        <v>1.9303800000000002</v>
      </c>
      <c r="B457" s="138">
        <v>1930.38</v>
      </c>
      <c r="C457" s="138">
        <v>98.747</v>
      </c>
      <c r="D457" s="138">
        <v>1.2529999999999999</v>
      </c>
      <c r="E457" s="138">
        <v>98.358000000000004</v>
      </c>
      <c r="F457" s="138">
        <v>1.6419999999999999</v>
      </c>
      <c r="G457" s="138">
        <f t="shared" si="32"/>
        <v>98.358000000000004</v>
      </c>
      <c r="H457" s="138">
        <v>1</v>
      </c>
      <c r="I457" s="138">
        <v>1</v>
      </c>
      <c r="J457" s="145">
        <f t="shared" si="33"/>
        <v>0.95066901400000003</v>
      </c>
      <c r="K457" s="146">
        <f t="shared" si="34"/>
        <v>91.476824786537449</v>
      </c>
    </row>
    <row r="458" spans="1:11">
      <c r="A458" s="138">
        <f t="shared" si="31"/>
        <v>1.9335440000000002</v>
      </c>
      <c r="B458" s="138">
        <v>1933.5440000000001</v>
      </c>
      <c r="C458" s="138">
        <v>98.721999999999994</v>
      </c>
      <c r="D458" s="138">
        <v>1.278</v>
      </c>
      <c r="E458" s="138">
        <v>98.335999999999999</v>
      </c>
      <c r="F458" s="138">
        <v>1.6639999999999999</v>
      </c>
      <c r="G458" s="138">
        <f t="shared" si="32"/>
        <v>98.335999999999999</v>
      </c>
      <c r="H458" s="138">
        <v>1</v>
      </c>
      <c r="I458" s="138">
        <v>1</v>
      </c>
      <c r="J458" s="145">
        <f t="shared" si="33"/>
        <v>0.95100218319999996</v>
      </c>
      <c r="K458" s="146">
        <f t="shared" si="34"/>
        <v>91.488415497243935</v>
      </c>
    </row>
    <row r="459" spans="1:11">
      <c r="A459" s="138">
        <f t="shared" si="31"/>
        <v>1.936709</v>
      </c>
      <c r="B459" s="138">
        <v>1936.7090000000001</v>
      </c>
      <c r="C459" s="138">
        <v>98.697000000000003</v>
      </c>
      <c r="D459" s="138">
        <v>1.3029999999999999</v>
      </c>
      <c r="E459" s="138">
        <v>98.313999999999993</v>
      </c>
      <c r="F459" s="138">
        <v>1.6859999999999999</v>
      </c>
      <c r="G459" s="138">
        <f t="shared" si="32"/>
        <v>98.313999999999993</v>
      </c>
      <c r="H459" s="138">
        <v>1</v>
      </c>
      <c r="I459" s="138">
        <v>1</v>
      </c>
      <c r="J459" s="145">
        <f t="shared" si="33"/>
        <v>0.95133545769999994</v>
      </c>
      <c r="K459" s="146">
        <f t="shared" si="34"/>
        <v>91.500001994431301</v>
      </c>
    </row>
    <row r="460" spans="1:11">
      <c r="A460" s="138">
        <f t="shared" si="31"/>
        <v>1.939873</v>
      </c>
      <c r="B460" s="138">
        <v>1939.873</v>
      </c>
      <c r="C460" s="138">
        <v>98.671999999999997</v>
      </c>
      <c r="D460" s="138">
        <v>1.3280000000000001</v>
      </c>
      <c r="E460" s="138">
        <v>98.292000000000002</v>
      </c>
      <c r="F460" s="138">
        <v>1.708</v>
      </c>
      <c r="G460" s="138">
        <f t="shared" si="32"/>
        <v>98.292000000000002</v>
      </c>
      <c r="H460" s="138">
        <v>1</v>
      </c>
      <c r="I460" s="138">
        <v>1</v>
      </c>
      <c r="J460" s="145">
        <f t="shared" si="33"/>
        <v>0.95166862689999998</v>
      </c>
      <c r="K460" s="146">
        <f t="shared" si="34"/>
        <v>91.511564020201774</v>
      </c>
    </row>
    <row r="461" spans="1:11">
      <c r="A461" s="138">
        <f t="shared" si="31"/>
        <v>1.943038</v>
      </c>
      <c r="B461" s="138">
        <v>1943.038</v>
      </c>
      <c r="C461" s="138">
        <v>98.647000000000006</v>
      </c>
      <c r="D461" s="138">
        <v>1.353</v>
      </c>
      <c r="E461" s="138">
        <v>98.27</v>
      </c>
      <c r="F461" s="138">
        <v>1.73</v>
      </c>
      <c r="G461" s="138">
        <f t="shared" si="32"/>
        <v>98.27</v>
      </c>
      <c r="H461" s="138">
        <v>1</v>
      </c>
      <c r="I461" s="138">
        <v>1</v>
      </c>
      <c r="J461" s="145">
        <f t="shared" si="33"/>
        <v>0.95200190139999996</v>
      </c>
      <c r="K461" s="146">
        <f t="shared" si="34"/>
        <v>91.523121827920434</v>
      </c>
    </row>
    <row r="462" spans="1:11">
      <c r="A462" s="138">
        <f t="shared" si="31"/>
        <v>1.9462029999999999</v>
      </c>
      <c r="B462" s="138">
        <v>1946.203</v>
      </c>
      <c r="C462" s="138">
        <v>98.620999999999995</v>
      </c>
      <c r="D462" s="138">
        <v>1.379</v>
      </c>
      <c r="E462" s="138">
        <v>98.247</v>
      </c>
      <c r="F462" s="138">
        <v>1.7529999999999999</v>
      </c>
      <c r="G462" s="138">
        <f t="shared" si="32"/>
        <v>98.247</v>
      </c>
      <c r="H462" s="138">
        <v>1</v>
      </c>
      <c r="I462" s="138">
        <v>1</v>
      </c>
      <c r="J462" s="145">
        <f t="shared" si="33"/>
        <v>0.95233517589999994</v>
      </c>
      <c r="K462" s="146">
        <f t="shared" si="34"/>
        <v>91.533733620269047</v>
      </c>
    </row>
    <row r="463" spans="1:11">
      <c r="A463" s="138">
        <f t="shared" si="31"/>
        <v>1.9493670000000001</v>
      </c>
      <c r="B463" s="138">
        <v>1949.367</v>
      </c>
      <c r="C463" s="138">
        <v>98.596000000000004</v>
      </c>
      <c r="D463" s="138">
        <v>1.4039999999999999</v>
      </c>
      <c r="E463" s="138">
        <v>98.224999999999994</v>
      </c>
      <c r="F463" s="138">
        <v>1.7749999999999999</v>
      </c>
      <c r="G463" s="138">
        <f t="shared" si="32"/>
        <v>98.224999999999994</v>
      </c>
      <c r="H463" s="138">
        <v>1</v>
      </c>
      <c r="I463" s="138">
        <v>1</v>
      </c>
      <c r="J463" s="145">
        <f t="shared" si="33"/>
        <v>0.95266834509999998</v>
      </c>
      <c r="K463" s="146">
        <f t="shared" si="34"/>
        <v>91.545252291562889</v>
      </c>
    </row>
    <row r="464" spans="1:11">
      <c r="A464" s="138">
        <f t="shared" si="31"/>
        <v>1.9525319999999999</v>
      </c>
      <c r="B464" s="138">
        <v>1952.5319999999999</v>
      </c>
      <c r="C464" s="138">
        <v>98.57</v>
      </c>
      <c r="D464" s="138">
        <v>1.43</v>
      </c>
      <c r="E464" s="138">
        <v>98.201999999999998</v>
      </c>
      <c r="F464" s="138">
        <v>1.798</v>
      </c>
      <c r="G464" s="138">
        <f t="shared" si="32"/>
        <v>98.201999999999998</v>
      </c>
      <c r="H464" s="138">
        <v>1</v>
      </c>
      <c r="I464" s="138">
        <v>1</v>
      </c>
      <c r="J464" s="145">
        <f t="shared" si="33"/>
        <v>0.95300161959999996</v>
      </c>
      <c r="K464" s="146">
        <f t="shared" si="34"/>
        <v>91.555834416418492</v>
      </c>
    </row>
    <row r="465" spans="1:11">
      <c r="A465" s="138">
        <f t="shared" si="31"/>
        <v>1.9556959999999999</v>
      </c>
      <c r="B465" s="138">
        <v>1955.6959999999999</v>
      </c>
      <c r="C465" s="138">
        <v>98.543999999999997</v>
      </c>
      <c r="D465" s="138">
        <v>1.456</v>
      </c>
      <c r="E465" s="138">
        <v>98.179000000000002</v>
      </c>
      <c r="F465" s="138">
        <v>1.821</v>
      </c>
      <c r="G465" s="138">
        <f t="shared" si="32"/>
        <v>98.179000000000002</v>
      </c>
      <c r="H465" s="138">
        <v>1</v>
      </c>
      <c r="I465" s="138">
        <v>1</v>
      </c>
      <c r="J465" s="145">
        <f t="shared" si="33"/>
        <v>0.95333478879999989</v>
      </c>
      <c r="K465" s="146">
        <f t="shared" si="34"/>
        <v>91.566391429412974</v>
      </c>
    </row>
    <row r="466" spans="1:11">
      <c r="A466" s="138">
        <f t="shared" si="31"/>
        <v>1.9588610000000002</v>
      </c>
      <c r="B466" s="138">
        <v>1958.8610000000001</v>
      </c>
      <c r="C466" s="138">
        <v>98.516999999999996</v>
      </c>
      <c r="D466" s="138">
        <v>1.4830000000000001</v>
      </c>
      <c r="E466" s="138">
        <v>98.156000000000006</v>
      </c>
      <c r="F466" s="138">
        <v>1.8440000000000001</v>
      </c>
      <c r="G466" s="138">
        <f t="shared" si="32"/>
        <v>98.156000000000006</v>
      </c>
      <c r="H466" s="138">
        <v>1</v>
      </c>
      <c r="I466" s="138">
        <v>1</v>
      </c>
      <c r="J466" s="145">
        <f t="shared" si="33"/>
        <v>0.95366806329999998</v>
      </c>
      <c r="K466" s="146">
        <f t="shared" si="34"/>
        <v>91.576943560733142</v>
      </c>
    </row>
    <row r="467" spans="1:11">
      <c r="A467" s="138">
        <f t="shared" si="31"/>
        <v>1.9620250000000001</v>
      </c>
      <c r="B467" s="138">
        <v>1962.0250000000001</v>
      </c>
      <c r="C467" s="138">
        <v>98.491</v>
      </c>
      <c r="D467" s="138">
        <v>1.5089999999999999</v>
      </c>
      <c r="E467" s="138">
        <v>98.132999999999996</v>
      </c>
      <c r="F467" s="138">
        <v>1.867</v>
      </c>
      <c r="G467" s="138">
        <f t="shared" si="32"/>
        <v>98.132999999999996</v>
      </c>
      <c r="H467" s="138">
        <v>1</v>
      </c>
      <c r="I467" s="138">
        <v>1</v>
      </c>
      <c r="J467" s="145">
        <f t="shared" si="33"/>
        <v>0.95400123250000002</v>
      </c>
      <c r="K467" s="146">
        <f t="shared" si="34"/>
        <v>91.587470584930884</v>
      </c>
    </row>
    <row r="468" spans="1:11">
      <c r="A468" s="138">
        <f t="shared" si="31"/>
        <v>1.96519</v>
      </c>
      <c r="B468" s="138">
        <v>1965.19</v>
      </c>
      <c r="C468" s="138">
        <v>98.463999999999999</v>
      </c>
      <c r="D468" s="138">
        <v>1.536</v>
      </c>
      <c r="E468" s="138">
        <v>98.108999999999995</v>
      </c>
      <c r="F468" s="138">
        <v>1.891</v>
      </c>
      <c r="G468" s="138">
        <f t="shared" si="32"/>
        <v>98.108999999999995</v>
      </c>
      <c r="H468" s="138">
        <v>1</v>
      </c>
      <c r="I468" s="138">
        <v>1</v>
      </c>
      <c r="J468" s="145">
        <f t="shared" si="33"/>
        <v>0.954334507</v>
      </c>
      <c r="K468" s="146">
        <f t="shared" si="34"/>
        <v>91.59705909726739</v>
      </c>
    </row>
    <row r="469" spans="1:11">
      <c r="A469" s="138">
        <f t="shared" si="31"/>
        <v>1.9683539999999999</v>
      </c>
      <c r="B469" s="138">
        <v>1968.354</v>
      </c>
      <c r="C469" s="138">
        <v>98.436999999999998</v>
      </c>
      <c r="D469" s="138">
        <v>1.5629999999999999</v>
      </c>
      <c r="E469" s="138">
        <v>98.085999999999999</v>
      </c>
      <c r="F469" s="138">
        <v>1.9139999999999999</v>
      </c>
      <c r="G469" s="138">
        <f t="shared" si="32"/>
        <v>98.085999999999999</v>
      </c>
      <c r="H469" s="138">
        <v>1</v>
      </c>
      <c r="I469" s="138">
        <v>1</v>
      </c>
      <c r="J469" s="145">
        <f t="shared" si="33"/>
        <v>0.95466767619999993</v>
      </c>
      <c r="K469" s="146">
        <f t="shared" si="34"/>
        <v>91.607555806728939</v>
      </c>
    </row>
    <row r="470" spans="1:11">
      <c r="A470" s="138">
        <f t="shared" si="31"/>
        <v>1.971519</v>
      </c>
      <c r="B470" s="138">
        <v>1971.519</v>
      </c>
      <c r="C470" s="138">
        <v>98.41</v>
      </c>
      <c r="D470" s="138">
        <v>1.59</v>
      </c>
      <c r="E470" s="138">
        <v>98.061999999999998</v>
      </c>
      <c r="F470" s="138">
        <v>1.9379999999999999</v>
      </c>
      <c r="G470" s="138">
        <f t="shared" si="32"/>
        <v>98.061999999999998</v>
      </c>
      <c r="H470" s="138">
        <v>1</v>
      </c>
      <c r="I470" s="138">
        <v>1</v>
      </c>
      <c r="J470" s="145">
        <f t="shared" si="33"/>
        <v>0.95500095069999991</v>
      </c>
      <c r="K470" s="146">
        <f t="shared" si="34"/>
        <v>91.617113347505693</v>
      </c>
    </row>
    <row r="471" spans="1:11">
      <c r="A471" s="138">
        <f t="shared" si="31"/>
        <v>1.9746839999999999</v>
      </c>
      <c r="B471" s="138">
        <v>1974.684</v>
      </c>
      <c r="C471" s="138">
        <v>98.382999999999996</v>
      </c>
      <c r="D471" s="138">
        <v>1.617</v>
      </c>
      <c r="E471" s="138">
        <v>98.039000000000001</v>
      </c>
      <c r="F471" s="138">
        <v>1.9610000000000001</v>
      </c>
      <c r="G471" s="138">
        <f t="shared" si="32"/>
        <v>98.039000000000001</v>
      </c>
      <c r="H471" s="138">
        <v>1</v>
      </c>
      <c r="I471" s="138">
        <v>1</v>
      </c>
      <c r="J471" s="145">
        <f t="shared" si="33"/>
        <v>0.95533422519999989</v>
      </c>
      <c r="K471" s="146">
        <f t="shared" si="34"/>
        <v>91.627589841717679</v>
      </c>
    </row>
    <row r="472" spans="1:11">
      <c r="A472" s="138">
        <f t="shared" si="31"/>
        <v>1.9778480000000001</v>
      </c>
      <c r="B472" s="138">
        <v>1977.848</v>
      </c>
      <c r="C472" s="138">
        <v>98.355999999999995</v>
      </c>
      <c r="D472" s="138">
        <v>1.6439999999999999</v>
      </c>
      <c r="E472" s="138">
        <v>98.015000000000001</v>
      </c>
      <c r="F472" s="138">
        <v>1.9850000000000001</v>
      </c>
      <c r="G472" s="138">
        <f t="shared" si="32"/>
        <v>98.015000000000001</v>
      </c>
      <c r="H472" s="138">
        <v>1</v>
      </c>
      <c r="I472" s="138">
        <v>1</v>
      </c>
      <c r="J472" s="145">
        <f t="shared" si="33"/>
        <v>0.95566739440000004</v>
      </c>
      <c r="K472" s="146">
        <f t="shared" si="34"/>
        <v>91.637106311448079</v>
      </c>
    </row>
    <row r="473" spans="1:11">
      <c r="A473" s="138">
        <f t="shared" si="31"/>
        <v>1.9810129999999999</v>
      </c>
      <c r="B473" s="138">
        <v>1981.0129999999999</v>
      </c>
      <c r="C473" s="138">
        <v>98.328000000000003</v>
      </c>
      <c r="D473" s="138">
        <v>1.6719999999999999</v>
      </c>
      <c r="E473" s="138">
        <v>97.991</v>
      </c>
      <c r="F473" s="138">
        <v>2.0089999999999999</v>
      </c>
      <c r="G473" s="138">
        <f t="shared" si="32"/>
        <v>97.991</v>
      </c>
      <c r="H473" s="138">
        <v>1</v>
      </c>
      <c r="I473" s="138">
        <v>1</v>
      </c>
      <c r="J473" s="145">
        <f t="shared" si="33"/>
        <v>0.95600066890000002</v>
      </c>
      <c r="K473" s="146">
        <f t="shared" si="34"/>
        <v>91.646617230627797</v>
      </c>
    </row>
    <row r="474" spans="1:11">
      <c r="A474" s="138">
        <f t="shared" si="31"/>
        <v>1.9841769999999999</v>
      </c>
      <c r="B474" s="138">
        <v>1984.1769999999999</v>
      </c>
      <c r="C474" s="138">
        <v>98.301000000000002</v>
      </c>
      <c r="D474" s="138">
        <v>1.6990000000000001</v>
      </c>
      <c r="E474" s="138">
        <v>97.965999999999994</v>
      </c>
      <c r="F474" s="138">
        <v>2.0339999999999998</v>
      </c>
      <c r="G474" s="138">
        <f t="shared" si="32"/>
        <v>97.965999999999994</v>
      </c>
      <c r="H474" s="138">
        <v>1</v>
      </c>
      <c r="I474" s="138">
        <v>1</v>
      </c>
      <c r="J474" s="145">
        <f t="shared" si="33"/>
        <v>0.95633383809999994</v>
      </c>
      <c r="K474" s="146">
        <f t="shared" si="34"/>
        <v>91.655166826306882</v>
      </c>
    </row>
    <row r="475" spans="1:11">
      <c r="A475" s="138">
        <f t="shared" si="31"/>
        <v>1.9873420000000002</v>
      </c>
      <c r="B475" s="138">
        <v>1987.3420000000001</v>
      </c>
      <c r="C475" s="138">
        <v>98.272999999999996</v>
      </c>
      <c r="D475" s="138">
        <v>1.7270000000000001</v>
      </c>
      <c r="E475" s="138">
        <v>97.941999999999993</v>
      </c>
      <c r="F475" s="138">
        <v>2.0579999999999998</v>
      </c>
      <c r="G475" s="138">
        <f t="shared" si="32"/>
        <v>97.941999999999993</v>
      </c>
      <c r="H475" s="138">
        <v>1</v>
      </c>
      <c r="I475" s="138">
        <v>1</v>
      </c>
      <c r="J475" s="145">
        <f t="shared" si="33"/>
        <v>0.95666711259999992</v>
      </c>
      <c r="K475" s="146">
        <f t="shared" si="34"/>
        <v>91.66464612184194</v>
      </c>
    </row>
    <row r="476" spans="1:11">
      <c r="A476" s="138">
        <f t="shared" si="31"/>
        <v>1.9905060000000001</v>
      </c>
      <c r="B476" s="138">
        <v>1990.5060000000001</v>
      </c>
      <c r="C476" s="138">
        <v>98.245000000000005</v>
      </c>
      <c r="D476" s="138">
        <v>1.7549999999999999</v>
      </c>
      <c r="E476" s="138">
        <v>97.918000000000006</v>
      </c>
      <c r="F476" s="138">
        <v>2.0819999999999999</v>
      </c>
      <c r="G476" s="138">
        <f t="shared" si="32"/>
        <v>97.918000000000006</v>
      </c>
      <c r="H476" s="138">
        <v>1</v>
      </c>
      <c r="I476" s="138">
        <v>1</v>
      </c>
      <c r="J476" s="145">
        <f t="shared" si="33"/>
        <v>0.95700028179999996</v>
      </c>
      <c r="K476" s="146">
        <f t="shared" si="34"/>
        <v>91.674099680317966</v>
      </c>
    </row>
    <row r="477" spans="1:11">
      <c r="A477" s="138">
        <f t="shared" si="31"/>
        <v>1.993671</v>
      </c>
      <c r="B477" s="138">
        <v>1993.671</v>
      </c>
      <c r="C477" s="138">
        <v>98.216999999999999</v>
      </c>
      <c r="D477" s="138">
        <v>1.7829999999999999</v>
      </c>
      <c r="E477" s="138">
        <v>97.893000000000001</v>
      </c>
      <c r="F477" s="138">
        <v>2.1070000000000002</v>
      </c>
      <c r="G477" s="138">
        <f t="shared" si="32"/>
        <v>97.893000000000001</v>
      </c>
      <c r="H477" s="138">
        <v>1</v>
      </c>
      <c r="I477" s="138">
        <v>1</v>
      </c>
      <c r="J477" s="145">
        <f t="shared" si="33"/>
        <v>0.95733355629999994</v>
      </c>
      <c r="K477" s="146">
        <f t="shared" si="34"/>
        <v>91.682611118832682</v>
      </c>
    </row>
    <row r="478" spans="1:11">
      <c r="A478" s="138">
        <f t="shared" si="31"/>
        <v>1.9968350000000001</v>
      </c>
      <c r="B478" s="138">
        <v>1996.835</v>
      </c>
      <c r="C478" s="138">
        <v>98.188000000000002</v>
      </c>
      <c r="D478" s="138">
        <v>1.8120000000000001</v>
      </c>
      <c r="E478" s="138">
        <v>97.869</v>
      </c>
      <c r="F478" s="138">
        <v>2.1309999999999998</v>
      </c>
      <c r="G478" s="138">
        <f t="shared" si="32"/>
        <v>97.869</v>
      </c>
      <c r="H478" s="138">
        <v>1</v>
      </c>
      <c r="I478" s="138">
        <v>1</v>
      </c>
      <c r="J478" s="145">
        <f t="shared" si="33"/>
        <v>0.95766672549999998</v>
      </c>
      <c r="K478" s="146">
        <f t="shared" si="34"/>
        <v>91.692033058711772</v>
      </c>
    </row>
    <row r="479" spans="1:11">
      <c r="A479" s="138">
        <f t="shared" si="31"/>
        <v>2</v>
      </c>
      <c r="B479" s="138">
        <v>2000</v>
      </c>
      <c r="C479" s="138">
        <v>98.16</v>
      </c>
      <c r="D479" s="138">
        <v>1.84</v>
      </c>
      <c r="E479" s="138">
        <v>97.843999999999994</v>
      </c>
      <c r="F479" s="138">
        <v>2.1560000000000001</v>
      </c>
      <c r="G479" s="138">
        <f t="shared" si="32"/>
        <v>97.843999999999994</v>
      </c>
      <c r="H479" s="138">
        <v>1</v>
      </c>
      <c r="I479" s="138">
        <v>1</v>
      </c>
      <c r="J479" s="145">
        <f t="shared" si="33"/>
        <v>0.95799999999999996</v>
      </c>
      <c r="K479" s="146">
        <f t="shared" si="34"/>
        <v>91.700512221599979</v>
      </c>
    </row>
    <row r="480" spans="1:11">
      <c r="A480" s="138">
        <f t="shared" si="31"/>
        <v>2.0031650000000001</v>
      </c>
      <c r="B480" s="138">
        <v>2003.165</v>
      </c>
      <c r="C480" s="138">
        <v>98.131</v>
      </c>
      <c r="D480" s="138">
        <v>1.869</v>
      </c>
      <c r="E480" s="138">
        <v>97.819000000000003</v>
      </c>
      <c r="F480" s="138">
        <v>2.181</v>
      </c>
      <c r="G480" s="138">
        <f t="shared" si="32"/>
        <v>97.819000000000003</v>
      </c>
      <c r="H480" s="138">
        <v>1</v>
      </c>
      <c r="I480" s="138">
        <v>1</v>
      </c>
      <c r="J480" s="145">
        <f t="shared" si="33"/>
        <v>0.95833327449999994</v>
      </c>
      <c r="K480" s="146">
        <f t="shared" si="34"/>
        <v>91.708975082366052</v>
      </c>
    </row>
    <row r="481" spans="1:11">
      <c r="A481" s="138">
        <f t="shared" si="31"/>
        <v>2.006329</v>
      </c>
      <c r="B481" s="138">
        <v>2006.329</v>
      </c>
      <c r="C481" s="138">
        <v>98.102000000000004</v>
      </c>
      <c r="D481" s="138">
        <v>1.8979999999999999</v>
      </c>
      <c r="E481" s="138">
        <v>97.793999999999997</v>
      </c>
      <c r="F481" s="138">
        <v>2.206</v>
      </c>
      <c r="G481" s="138">
        <f t="shared" si="32"/>
        <v>97.793999999999997</v>
      </c>
      <c r="H481" s="138">
        <v>1</v>
      </c>
      <c r="I481" s="138">
        <v>1</v>
      </c>
      <c r="J481" s="145">
        <f t="shared" si="33"/>
        <v>0.95866644369999998</v>
      </c>
      <c r="K481" s="146">
        <f t="shared" si="34"/>
        <v>91.717411566761996</v>
      </c>
    </row>
    <row r="482" spans="1:11">
      <c r="A482" s="138">
        <f t="shared" si="31"/>
        <v>2.0094940000000001</v>
      </c>
      <c r="B482" s="138">
        <v>2009.4939999999999</v>
      </c>
      <c r="C482" s="138">
        <v>98.073999999999998</v>
      </c>
      <c r="D482" s="138">
        <v>1.9259999999999999</v>
      </c>
      <c r="E482" s="138">
        <v>97.769000000000005</v>
      </c>
      <c r="F482" s="138">
        <v>2.2309999999999999</v>
      </c>
      <c r="G482" s="138">
        <f t="shared" si="32"/>
        <v>97.769000000000005</v>
      </c>
      <c r="H482" s="138">
        <v>1</v>
      </c>
      <c r="I482" s="138">
        <v>1</v>
      </c>
      <c r="J482" s="145">
        <f t="shared" si="33"/>
        <v>0.95899971819999996</v>
      </c>
      <c r="K482" s="146">
        <f t="shared" si="34"/>
        <v>91.725841825859092</v>
      </c>
    </row>
    <row r="483" spans="1:11">
      <c r="A483" s="138">
        <f t="shared" si="31"/>
        <v>2.0126580000000001</v>
      </c>
      <c r="B483" s="138">
        <v>2012.6579999999999</v>
      </c>
      <c r="C483" s="138">
        <v>98.045000000000002</v>
      </c>
      <c r="D483" s="138">
        <v>1.9550000000000001</v>
      </c>
      <c r="E483" s="138">
        <v>97.744</v>
      </c>
      <c r="F483" s="138">
        <v>2.2559999999999998</v>
      </c>
      <c r="G483" s="138">
        <f t="shared" si="32"/>
        <v>97.744</v>
      </c>
      <c r="H483" s="138">
        <v>1</v>
      </c>
      <c r="I483" s="138">
        <v>1</v>
      </c>
      <c r="J483" s="145">
        <f t="shared" si="33"/>
        <v>0.9593328874</v>
      </c>
      <c r="K483" s="146">
        <f t="shared" si="34"/>
        <v>91.73424571373684</v>
      </c>
    </row>
    <row r="484" spans="1:11">
      <c r="A484" s="138">
        <f t="shared" si="31"/>
        <v>2.0158230000000001</v>
      </c>
      <c r="B484" s="138">
        <v>2015.8230000000001</v>
      </c>
      <c r="C484" s="138">
        <v>98.015000000000001</v>
      </c>
      <c r="D484" s="138">
        <v>1.9850000000000001</v>
      </c>
      <c r="E484" s="138">
        <v>97.718000000000004</v>
      </c>
      <c r="F484" s="138">
        <v>2.282</v>
      </c>
      <c r="G484" s="138">
        <f t="shared" si="32"/>
        <v>97.718000000000004</v>
      </c>
      <c r="H484" s="138">
        <v>1</v>
      </c>
      <c r="I484" s="138">
        <v>1</v>
      </c>
      <c r="J484" s="145">
        <f t="shared" si="33"/>
        <v>0.95966616189999998</v>
      </c>
      <c r="K484" s="146">
        <f t="shared" si="34"/>
        <v>91.741704529758792</v>
      </c>
    </row>
    <row r="485" spans="1:11">
      <c r="A485" s="138">
        <f t="shared" si="31"/>
        <v>2.0189870000000001</v>
      </c>
      <c r="B485" s="138">
        <v>2018.9870000000001</v>
      </c>
      <c r="C485" s="138">
        <v>97.986000000000004</v>
      </c>
      <c r="D485" s="138">
        <v>2.0139999999999998</v>
      </c>
      <c r="E485" s="138">
        <v>97.692999999999998</v>
      </c>
      <c r="F485" s="138">
        <v>2.3069999999999999</v>
      </c>
      <c r="G485" s="138">
        <f t="shared" si="32"/>
        <v>97.692999999999998</v>
      </c>
      <c r="H485" s="138">
        <v>1</v>
      </c>
      <c r="I485" s="138">
        <v>1</v>
      </c>
      <c r="J485" s="145">
        <f t="shared" si="33"/>
        <v>0.95999933109999991</v>
      </c>
      <c r="K485" s="146">
        <f t="shared" si="34"/>
        <v>91.750075495178876</v>
      </c>
    </row>
    <row r="486" spans="1:11">
      <c r="A486" s="138">
        <f t="shared" si="31"/>
        <v>2.0221520000000002</v>
      </c>
      <c r="B486" s="138">
        <v>2022.152</v>
      </c>
      <c r="C486" s="138">
        <v>97.956999999999994</v>
      </c>
      <c r="D486" s="138">
        <v>2.0430000000000001</v>
      </c>
      <c r="E486" s="138">
        <v>97.667000000000002</v>
      </c>
      <c r="F486" s="138">
        <v>2.3330000000000002</v>
      </c>
      <c r="G486" s="138">
        <f t="shared" si="32"/>
        <v>97.667000000000002</v>
      </c>
      <c r="H486" s="138">
        <v>1</v>
      </c>
      <c r="I486" s="138">
        <v>1</v>
      </c>
      <c r="J486" s="145">
        <f t="shared" si="33"/>
        <v>0.9603326056</v>
      </c>
      <c r="K486" s="146">
        <f t="shared" si="34"/>
        <v>91.757500731507577</v>
      </c>
    </row>
    <row r="487" spans="1:11">
      <c r="A487" s="138">
        <f t="shared" si="31"/>
        <v>2.0253160000000001</v>
      </c>
      <c r="B487" s="138">
        <v>2025.316</v>
      </c>
      <c r="C487" s="138">
        <v>97.927000000000007</v>
      </c>
      <c r="D487" s="138">
        <v>2.073</v>
      </c>
      <c r="E487" s="138">
        <v>97.641999999999996</v>
      </c>
      <c r="F487" s="138">
        <v>2.3580000000000001</v>
      </c>
      <c r="G487" s="138">
        <f t="shared" si="32"/>
        <v>97.641999999999996</v>
      </c>
      <c r="H487" s="138">
        <v>1</v>
      </c>
      <c r="I487" s="138">
        <v>1</v>
      </c>
      <c r="J487" s="145">
        <f t="shared" si="33"/>
        <v>0.96066577480000004</v>
      </c>
      <c r="K487" s="146">
        <f t="shared" si="34"/>
        <v>91.765838774470026</v>
      </c>
    </row>
    <row r="488" spans="1:11">
      <c r="A488" s="138">
        <f t="shared" si="31"/>
        <v>2.0284810000000002</v>
      </c>
      <c r="B488" s="138">
        <v>2028.481</v>
      </c>
      <c r="C488" s="138">
        <v>97.897999999999996</v>
      </c>
      <c r="D488" s="138">
        <v>2.1019999999999999</v>
      </c>
      <c r="E488" s="138">
        <v>97.616</v>
      </c>
      <c r="F488" s="138">
        <v>2.3839999999999999</v>
      </c>
      <c r="G488" s="138">
        <f t="shared" si="32"/>
        <v>97.616</v>
      </c>
      <c r="H488" s="138">
        <v>1</v>
      </c>
      <c r="I488" s="138">
        <v>1</v>
      </c>
      <c r="J488" s="145">
        <f t="shared" si="33"/>
        <v>0.96099904930000002</v>
      </c>
      <c r="K488" s="146">
        <f t="shared" si="34"/>
        <v>91.773230431105418</v>
      </c>
    </row>
    <row r="489" spans="1:11">
      <c r="A489" s="138">
        <f t="shared" si="31"/>
        <v>2.0316459999999998</v>
      </c>
      <c r="B489" s="138">
        <v>2031.646</v>
      </c>
      <c r="C489" s="138">
        <v>97.867999999999995</v>
      </c>
      <c r="D489" s="138">
        <v>2.1320000000000001</v>
      </c>
      <c r="E489" s="138">
        <v>97.59</v>
      </c>
      <c r="F489" s="138">
        <v>2.41</v>
      </c>
      <c r="G489" s="138">
        <f t="shared" si="32"/>
        <v>97.59</v>
      </c>
      <c r="H489" s="138">
        <v>1</v>
      </c>
      <c r="I489" s="138">
        <v>1</v>
      </c>
      <c r="J489" s="145">
        <f t="shared" si="33"/>
        <v>0.9613323238</v>
      </c>
      <c r="K489" s="146">
        <f t="shared" si="34"/>
        <v>91.780605133533768</v>
      </c>
    </row>
    <row r="490" spans="1:11">
      <c r="A490" s="138">
        <f t="shared" si="31"/>
        <v>2.0348099999999998</v>
      </c>
      <c r="B490" s="138">
        <v>2034.81</v>
      </c>
      <c r="C490" s="138">
        <v>97.837999999999994</v>
      </c>
      <c r="D490" s="138">
        <v>2.1619999999999999</v>
      </c>
      <c r="E490" s="138">
        <v>97.563999999999993</v>
      </c>
      <c r="F490" s="138">
        <v>2.4359999999999999</v>
      </c>
      <c r="G490" s="138">
        <f t="shared" si="32"/>
        <v>97.563999999999993</v>
      </c>
      <c r="H490" s="138">
        <v>1</v>
      </c>
      <c r="I490" s="138">
        <v>1</v>
      </c>
      <c r="J490" s="145">
        <f t="shared" si="33"/>
        <v>0.96166549299999993</v>
      </c>
      <c r="K490" s="146">
        <f t="shared" si="34"/>
        <v>91.78795283120057</v>
      </c>
    </row>
    <row r="491" spans="1:11">
      <c r="A491" s="138">
        <f t="shared" si="31"/>
        <v>2.0379749999999999</v>
      </c>
      <c r="B491" s="138">
        <v>2037.9749999999999</v>
      </c>
      <c r="C491" s="138">
        <v>97.808000000000007</v>
      </c>
      <c r="D491" s="138">
        <v>2.1920000000000002</v>
      </c>
      <c r="E491" s="138">
        <v>97.537999999999997</v>
      </c>
      <c r="F491" s="138">
        <v>2.4620000000000002</v>
      </c>
      <c r="G491" s="138">
        <f t="shared" si="32"/>
        <v>97.537999999999997</v>
      </c>
      <c r="H491" s="138">
        <v>1</v>
      </c>
      <c r="I491" s="138">
        <v>1</v>
      </c>
      <c r="J491" s="145">
        <f t="shared" si="33"/>
        <v>0.96199876749999991</v>
      </c>
      <c r="K491" s="146">
        <f t="shared" si="34"/>
        <v>91.795293627893187</v>
      </c>
    </row>
    <row r="492" spans="1:11">
      <c r="A492" s="138">
        <f t="shared" si="31"/>
        <v>2.0411389999999998</v>
      </c>
      <c r="B492" s="138">
        <v>2041.1389999999999</v>
      </c>
      <c r="C492" s="138">
        <v>97.778000000000006</v>
      </c>
      <c r="D492" s="138">
        <v>2.222</v>
      </c>
      <c r="E492" s="138">
        <v>97.512</v>
      </c>
      <c r="F492" s="138">
        <v>2.488</v>
      </c>
      <c r="G492" s="138">
        <f t="shared" si="32"/>
        <v>97.512</v>
      </c>
      <c r="H492" s="138">
        <v>1</v>
      </c>
      <c r="I492" s="138">
        <v>1</v>
      </c>
      <c r="J492" s="145">
        <f t="shared" si="33"/>
        <v>0.96233193669999995</v>
      </c>
      <c r="K492" s="146">
        <f t="shared" si="34"/>
        <v>91.802607425181051</v>
      </c>
    </row>
    <row r="493" spans="1:11">
      <c r="A493" s="138">
        <f t="shared" si="31"/>
        <v>2.0443039999999999</v>
      </c>
      <c r="B493" s="138">
        <v>2044.3040000000001</v>
      </c>
      <c r="C493" s="138">
        <v>97.748000000000005</v>
      </c>
      <c r="D493" s="138">
        <v>2.2519999999999998</v>
      </c>
      <c r="E493" s="138">
        <v>97.486000000000004</v>
      </c>
      <c r="F493" s="138">
        <v>2.5139999999999998</v>
      </c>
      <c r="G493" s="138">
        <f t="shared" si="32"/>
        <v>97.486000000000004</v>
      </c>
      <c r="H493" s="138">
        <v>1</v>
      </c>
      <c r="I493" s="138">
        <v>1</v>
      </c>
      <c r="J493" s="145">
        <f t="shared" si="33"/>
        <v>0.96266521119999993</v>
      </c>
      <c r="K493" s="146">
        <f t="shared" si="34"/>
        <v>91.809914316137963</v>
      </c>
    </row>
    <row r="494" spans="1:11">
      <c r="A494" s="138">
        <f t="shared" si="31"/>
        <v>2.0474680000000003</v>
      </c>
      <c r="B494" s="138">
        <v>2047.4680000000001</v>
      </c>
      <c r="C494" s="138">
        <v>97.716999999999999</v>
      </c>
      <c r="D494" s="138">
        <v>2.2829999999999999</v>
      </c>
      <c r="E494" s="138">
        <v>97.46</v>
      </c>
      <c r="F494" s="138">
        <v>2.54</v>
      </c>
      <c r="G494" s="138">
        <f t="shared" si="32"/>
        <v>97.46</v>
      </c>
      <c r="H494" s="138">
        <v>1</v>
      </c>
      <c r="I494" s="138">
        <v>1</v>
      </c>
      <c r="J494" s="145">
        <f t="shared" si="33"/>
        <v>0.96299838039999996</v>
      </c>
      <c r="K494" s="146">
        <f t="shared" si="34"/>
        <v>91.817194213046875</v>
      </c>
    </row>
    <row r="495" spans="1:11">
      <c r="A495" s="138">
        <f t="shared" si="31"/>
        <v>2.0506329999999999</v>
      </c>
      <c r="B495" s="138">
        <v>2050.6329999999998</v>
      </c>
      <c r="C495" s="138">
        <v>97.686999999999998</v>
      </c>
      <c r="D495" s="138">
        <v>2.3130000000000002</v>
      </c>
      <c r="E495" s="138">
        <v>97.433000000000007</v>
      </c>
      <c r="F495" s="138">
        <v>2.5670000000000002</v>
      </c>
      <c r="G495" s="138">
        <f t="shared" si="32"/>
        <v>97.433000000000007</v>
      </c>
      <c r="H495" s="138">
        <v>1</v>
      </c>
      <c r="I495" s="138">
        <v>1</v>
      </c>
      <c r="J495" s="145">
        <f t="shared" si="33"/>
        <v>0.96333165489999995</v>
      </c>
      <c r="K495" s="146">
        <f t="shared" si="34"/>
        <v>91.823524770910083</v>
      </c>
    </row>
    <row r="496" spans="1:11">
      <c r="A496" s="138">
        <f t="shared" si="31"/>
        <v>2.0537969999999999</v>
      </c>
      <c r="B496" s="138">
        <v>2053.797</v>
      </c>
      <c r="C496" s="138">
        <v>97.656000000000006</v>
      </c>
      <c r="D496" s="138">
        <v>2.3439999999999999</v>
      </c>
      <c r="E496" s="138">
        <v>97.406999999999996</v>
      </c>
      <c r="F496" s="138">
        <v>2.593</v>
      </c>
      <c r="G496" s="138">
        <f t="shared" si="32"/>
        <v>97.406999999999996</v>
      </c>
      <c r="H496" s="138">
        <v>1</v>
      </c>
      <c r="I496" s="138">
        <v>1</v>
      </c>
      <c r="J496" s="145">
        <f t="shared" si="33"/>
        <v>0.96366482409999998</v>
      </c>
      <c r="K496" s="146">
        <f t="shared" si="34"/>
        <v>91.830770441500633</v>
      </c>
    </row>
    <row r="497" spans="1:11">
      <c r="A497" s="138">
        <f t="shared" si="31"/>
        <v>2.056962</v>
      </c>
      <c r="B497" s="138">
        <v>2056.962</v>
      </c>
      <c r="C497" s="138">
        <v>97.626000000000005</v>
      </c>
      <c r="D497" s="138">
        <v>2.3740000000000001</v>
      </c>
      <c r="E497" s="138">
        <v>97.38</v>
      </c>
      <c r="F497" s="138">
        <v>2.62</v>
      </c>
      <c r="G497" s="138">
        <f t="shared" si="32"/>
        <v>97.38</v>
      </c>
      <c r="H497" s="138">
        <v>1</v>
      </c>
      <c r="I497" s="138">
        <v>1</v>
      </c>
      <c r="J497" s="145">
        <f t="shared" si="33"/>
        <v>0.96399809859999996</v>
      </c>
      <c r="K497" s="146">
        <f t="shared" si="34"/>
        <v>91.83706611560379</v>
      </c>
    </row>
    <row r="498" spans="1:11">
      <c r="A498" s="138">
        <f t="shared" si="31"/>
        <v>2.060127</v>
      </c>
      <c r="B498" s="138">
        <v>2060.127</v>
      </c>
      <c r="C498" s="138">
        <v>97.594999999999999</v>
      </c>
      <c r="D498" s="138">
        <v>2.4049999999999998</v>
      </c>
      <c r="E498" s="138">
        <v>97.352999999999994</v>
      </c>
      <c r="F498" s="138">
        <v>2.6469999999999998</v>
      </c>
      <c r="G498" s="138">
        <f t="shared" si="32"/>
        <v>97.352999999999994</v>
      </c>
      <c r="H498" s="138">
        <v>1</v>
      </c>
      <c r="I498" s="138">
        <v>1</v>
      </c>
      <c r="J498" s="145">
        <f t="shared" si="33"/>
        <v>0.96433137309999994</v>
      </c>
      <c r="K498" s="146">
        <f t="shared" si="34"/>
        <v>91.843344183415027</v>
      </c>
    </row>
    <row r="499" spans="1:11">
      <c r="A499" s="138">
        <f t="shared" si="31"/>
        <v>2.063291</v>
      </c>
      <c r="B499" s="138">
        <v>2063.2910000000002</v>
      </c>
      <c r="C499" s="138">
        <v>97.563999999999993</v>
      </c>
      <c r="D499" s="138">
        <v>2.4359999999999999</v>
      </c>
      <c r="E499" s="138">
        <v>97.326999999999998</v>
      </c>
      <c r="F499" s="138">
        <v>2.673</v>
      </c>
      <c r="G499" s="138">
        <f t="shared" si="32"/>
        <v>97.326999999999998</v>
      </c>
      <c r="H499" s="138">
        <v>1</v>
      </c>
      <c r="I499" s="138">
        <v>1</v>
      </c>
      <c r="J499" s="145">
        <f t="shared" si="33"/>
        <v>0.96466454229999998</v>
      </c>
      <c r="K499" s="146">
        <f t="shared" si="34"/>
        <v>91.850538350219125</v>
      </c>
    </row>
    <row r="500" spans="1:11">
      <c r="A500" s="138">
        <f t="shared" si="31"/>
        <v>2.0664560000000001</v>
      </c>
      <c r="B500" s="138">
        <v>2066.4560000000001</v>
      </c>
      <c r="C500" s="138">
        <v>97.533000000000001</v>
      </c>
      <c r="D500" s="138">
        <v>2.4670000000000001</v>
      </c>
      <c r="E500" s="138">
        <v>97.3</v>
      </c>
      <c r="F500" s="138">
        <v>2.7</v>
      </c>
      <c r="G500" s="138">
        <f t="shared" si="32"/>
        <v>97.3</v>
      </c>
      <c r="H500" s="138">
        <v>1</v>
      </c>
      <c r="I500" s="138">
        <v>1</v>
      </c>
      <c r="J500" s="145">
        <f t="shared" si="33"/>
        <v>0.96499781679999996</v>
      </c>
      <c r="K500" s="146">
        <f t="shared" si="34"/>
        <v>91.856781534270297</v>
      </c>
    </row>
    <row r="501" spans="1:11">
      <c r="A501" s="138">
        <f t="shared" si="31"/>
        <v>2.06962</v>
      </c>
      <c r="B501" s="138">
        <v>2069.62</v>
      </c>
      <c r="C501" s="138">
        <v>97.501999999999995</v>
      </c>
      <c r="D501" s="138">
        <v>2.4980000000000002</v>
      </c>
      <c r="E501" s="138">
        <v>97.272999999999996</v>
      </c>
      <c r="F501" s="138">
        <v>2.7269999999999999</v>
      </c>
      <c r="G501" s="138">
        <f t="shared" si="32"/>
        <v>97.272999999999996</v>
      </c>
      <c r="H501" s="138">
        <v>1</v>
      </c>
      <c r="I501" s="138">
        <v>1</v>
      </c>
      <c r="J501" s="145">
        <f t="shared" si="33"/>
        <v>0.965330986</v>
      </c>
      <c r="K501" s="146">
        <f t="shared" si="34"/>
        <v>91.862997091452428</v>
      </c>
    </row>
    <row r="502" spans="1:11">
      <c r="A502" s="138">
        <f t="shared" si="31"/>
        <v>2.0727849999999997</v>
      </c>
      <c r="B502" s="138">
        <v>2072.7849999999999</v>
      </c>
      <c r="C502" s="138">
        <v>97.471000000000004</v>
      </c>
      <c r="D502" s="138">
        <v>2.5289999999999999</v>
      </c>
      <c r="E502" s="138">
        <v>97.245999999999995</v>
      </c>
      <c r="F502" s="138">
        <v>2.754</v>
      </c>
      <c r="G502" s="138">
        <f t="shared" si="32"/>
        <v>97.245999999999995</v>
      </c>
      <c r="H502" s="138">
        <v>1</v>
      </c>
      <c r="I502" s="138">
        <v>1</v>
      </c>
      <c r="J502" s="145">
        <f t="shared" si="33"/>
        <v>0.96566426049999987</v>
      </c>
      <c r="K502" s="146">
        <f t="shared" si="34"/>
        <v>91.869205065701138</v>
      </c>
    </row>
    <row r="503" spans="1:11">
      <c r="A503" s="138">
        <f t="shared" si="31"/>
        <v>2.075949</v>
      </c>
      <c r="B503" s="138">
        <v>2075.9490000000001</v>
      </c>
      <c r="C503" s="138">
        <v>97.438999999999993</v>
      </c>
      <c r="D503" s="138">
        <v>2.5609999999999999</v>
      </c>
      <c r="E503" s="138">
        <v>97.218999999999994</v>
      </c>
      <c r="F503" s="138">
        <v>2.7810000000000001</v>
      </c>
      <c r="G503" s="138">
        <f t="shared" si="32"/>
        <v>97.218999999999994</v>
      </c>
      <c r="H503" s="138">
        <v>1</v>
      </c>
      <c r="I503" s="138">
        <v>1</v>
      </c>
      <c r="J503" s="145">
        <f t="shared" si="33"/>
        <v>0.96599742970000002</v>
      </c>
      <c r="K503" s="146">
        <f t="shared" si="34"/>
        <v>91.875385418643603</v>
      </c>
    </row>
    <row r="504" spans="1:11">
      <c r="A504" s="138">
        <f t="shared" si="31"/>
        <v>2.0791140000000001</v>
      </c>
      <c r="B504" s="138">
        <v>2079.114</v>
      </c>
      <c r="C504" s="138">
        <v>97.408000000000001</v>
      </c>
      <c r="D504" s="138">
        <v>2.5920000000000001</v>
      </c>
      <c r="E504" s="138">
        <v>97.191999999999993</v>
      </c>
      <c r="F504" s="138">
        <v>2.8079999999999998</v>
      </c>
      <c r="G504" s="138">
        <f t="shared" si="32"/>
        <v>97.191999999999993</v>
      </c>
      <c r="H504" s="138">
        <v>1</v>
      </c>
      <c r="I504" s="138">
        <v>1</v>
      </c>
      <c r="J504" s="145">
        <f t="shared" si="33"/>
        <v>0.9663307042</v>
      </c>
      <c r="K504" s="146">
        <f t="shared" si="34"/>
        <v>91.881558183089837</v>
      </c>
    </row>
    <row r="505" spans="1:11">
      <c r="A505" s="138">
        <f t="shared" si="31"/>
        <v>2.0822779999999996</v>
      </c>
      <c r="B505" s="138">
        <v>2082.2779999999998</v>
      </c>
      <c r="C505" s="138">
        <v>97.376999999999995</v>
      </c>
      <c r="D505" s="138">
        <v>2.6230000000000002</v>
      </c>
      <c r="E505" s="138">
        <v>97.165000000000006</v>
      </c>
      <c r="F505" s="138">
        <v>2.835</v>
      </c>
      <c r="G505" s="138">
        <f t="shared" si="32"/>
        <v>97.165000000000006</v>
      </c>
      <c r="H505" s="138">
        <v>1</v>
      </c>
      <c r="I505" s="138">
        <v>1</v>
      </c>
      <c r="J505" s="145">
        <f t="shared" si="33"/>
        <v>0.96666387339999993</v>
      </c>
      <c r="K505" s="146">
        <f t="shared" si="34"/>
        <v>91.887703331792636</v>
      </c>
    </row>
    <row r="506" spans="1:11">
      <c r="A506" s="138">
        <f t="shared" si="31"/>
        <v>2.0854430000000002</v>
      </c>
      <c r="B506" s="138">
        <v>2085.4430000000002</v>
      </c>
      <c r="C506" s="138">
        <v>97.344999999999999</v>
      </c>
      <c r="D506" s="138">
        <v>2.6549999999999998</v>
      </c>
      <c r="E506" s="138">
        <v>97.138000000000005</v>
      </c>
      <c r="F506" s="138">
        <v>2.8620000000000001</v>
      </c>
      <c r="G506" s="138">
        <f t="shared" si="32"/>
        <v>97.138000000000005</v>
      </c>
      <c r="H506" s="138">
        <v>1</v>
      </c>
      <c r="I506" s="138">
        <v>1</v>
      </c>
      <c r="J506" s="145">
        <f t="shared" si="33"/>
        <v>0.96699714790000002</v>
      </c>
      <c r="K506" s="146">
        <f t="shared" si="34"/>
        <v>91.893840886436394</v>
      </c>
    </row>
    <row r="507" spans="1:11">
      <c r="A507" s="138">
        <f t="shared" si="31"/>
        <v>2.0886080000000002</v>
      </c>
      <c r="B507" s="138">
        <v>2088.6080000000002</v>
      </c>
      <c r="C507" s="138">
        <v>97.313999999999993</v>
      </c>
      <c r="D507" s="138">
        <v>2.6859999999999999</v>
      </c>
      <c r="E507" s="138">
        <v>97.11</v>
      </c>
      <c r="F507" s="138">
        <v>2.89</v>
      </c>
      <c r="G507" s="138">
        <f t="shared" si="32"/>
        <v>97.11</v>
      </c>
      <c r="H507" s="138">
        <v>1</v>
      </c>
      <c r="I507" s="138">
        <v>1</v>
      </c>
      <c r="J507" s="145">
        <f t="shared" si="33"/>
        <v>0.9673304224</v>
      </c>
      <c r="K507" s="146">
        <f t="shared" si="34"/>
        <v>91.899014495435964</v>
      </c>
    </row>
    <row r="508" spans="1:11">
      <c r="A508" s="138">
        <f t="shared" si="31"/>
        <v>2.0917719999999997</v>
      </c>
      <c r="B508" s="138">
        <v>2091.7719999999999</v>
      </c>
      <c r="C508" s="138">
        <v>97.281999999999996</v>
      </c>
      <c r="D508" s="138">
        <v>2.718</v>
      </c>
      <c r="E508" s="138">
        <v>97.082999999999998</v>
      </c>
      <c r="F508" s="138">
        <v>2.9169999999999998</v>
      </c>
      <c r="G508" s="138">
        <f t="shared" si="32"/>
        <v>97.082999999999998</v>
      </c>
      <c r="H508" s="138">
        <v>1</v>
      </c>
      <c r="I508" s="138">
        <v>1</v>
      </c>
      <c r="J508" s="145">
        <f t="shared" si="33"/>
        <v>0.96766359159999993</v>
      </c>
      <c r="K508" s="146">
        <f t="shared" si="34"/>
        <v>91.905106510449116</v>
      </c>
    </row>
    <row r="509" spans="1:11">
      <c r="A509" s="138">
        <f t="shared" si="31"/>
        <v>2.0949369999999998</v>
      </c>
      <c r="B509" s="138">
        <v>2094.9369999999999</v>
      </c>
      <c r="C509" s="138">
        <v>97.25</v>
      </c>
      <c r="D509" s="138">
        <v>2.75</v>
      </c>
      <c r="E509" s="138">
        <v>97.055000000000007</v>
      </c>
      <c r="F509" s="138">
        <v>2.9449999999999998</v>
      </c>
      <c r="G509" s="138">
        <f t="shared" si="32"/>
        <v>97.055000000000007</v>
      </c>
      <c r="H509" s="138">
        <v>1</v>
      </c>
      <c r="I509" s="138">
        <v>1</v>
      </c>
      <c r="J509" s="145">
        <f t="shared" si="33"/>
        <v>0.96799686609999991</v>
      </c>
      <c r="K509" s="146">
        <f t="shared" si="34"/>
        <v>91.91024393162192</v>
      </c>
    </row>
    <row r="510" spans="1:11">
      <c r="A510" s="138">
        <f t="shared" si="31"/>
        <v>2.0981010000000002</v>
      </c>
      <c r="B510" s="138">
        <v>2098.1010000000001</v>
      </c>
      <c r="C510" s="138">
        <v>97.218000000000004</v>
      </c>
      <c r="D510" s="138">
        <v>2.782</v>
      </c>
      <c r="E510" s="138">
        <v>97.028000000000006</v>
      </c>
      <c r="F510" s="138">
        <v>2.972</v>
      </c>
      <c r="G510" s="138">
        <f t="shared" si="32"/>
        <v>97.028000000000006</v>
      </c>
      <c r="H510" s="138">
        <v>1</v>
      </c>
      <c r="I510" s="138">
        <v>1</v>
      </c>
      <c r="J510" s="145">
        <f t="shared" si="33"/>
        <v>0.96833003529999995</v>
      </c>
      <c r="K510" s="146">
        <f t="shared" si="34"/>
        <v>91.916300416455982</v>
      </c>
    </row>
    <row r="511" spans="1:11">
      <c r="A511" s="138">
        <f t="shared" si="31"/>
        <v>2.1012659999999999</v>
      </c>
      <c r="B511" s="138">
        <v>2101.2660000000001</v>
      </c>
      <c r="C511" s="138">
        <v>97.186000000000007</v>
      </c>
      <c r="D511" s="138">
        <v>2.8140000000000001</v>
      </c>
      <c r="E511" s="138">
        <v>97</v>
      </c>
      <c r="F511" s="138">
        <v>3</v>
      </c>
      <c r="G511" s="138">
        <f t="shared" si="32"/>
        <v>97</v>
      </c>
      <c r="H511" s="138">
        <v>1</v>
      </c>
      <c r="I511" s="138">
        <v>1</v>
      </c>
      <c r="J511" s="145">
        <f t="shared" si="33"/>
        <v>0.96866330979999993</v>
      </c>
      <c r="K511" s="146">
        <f t="shared" si="34"/>
        <v>91.921401649801979</v>
      </c>
    </row>
    <row r="512" spans="1:11">
      <c r="A512" s="138">
        <f t="shared" si="31"/>
        <v>2.1044299999999998</v>
      </c>
      <c r="B512" s="138">
        <v>2104.4299999999998</v>
      </c>
      <c r="C512" s="138">
        <v>97.153999999999996</v>
      </c>
      <c r="D512" s="138">
        <v>2.8460000000000001</v>
      </c>
      <c r="E512" s="138">
        <v>96.972999999999999</v>
      </c>
      <c r="F512" s="138">
        <v>3.0270000000000001</v>
      </c>
      <c r="G512" s="138">
        <f t="shared" si="32"/>
        <v>96.972999999999999</v>
      </c>
      <c r="H512" s="138">
        <v>1</v>
      </c>
      <c r="I512" s="138">
        <v>1</v>
      </c>
      <c r="J512" s="145">
        <f t="shared" si="33"/>
        <v>0.96899647899999997</v>
      </c>
      <c r="K512" s="146">
        <f t="shared" si="34"/>
        <v>91.927422604456936</v>
      </c>
    </row>
    <row r="513" spans="1:11">
      <c r="A513" s="138">
        <f t="shared" si="31"/>
        <v>2.1075949999999999</v>
      </c>
      <c r="B513" s="138">
        <v>2107.5949999999998</v>
      </c>
      <c r="C513" s="138">
        <v>97.122</v>
      </c>
      <c r="D513" s="138">
        <v>2.8780000000000001</v>
      </c>
      <c r="E513" s="138">
        <v>96.944999999999993</v>
      </c>
      <c r="F513" s="138">
        <v>3.0550000000000002</v>
      </c>
      <c r="G513" s="138">
        <f t="shared" si="32"/>
        <v>96.944999999999993</v>
      </c>
      <c r="H513" s="138">
        <v>1</v>
      </c>
      <c r="I513" s="138">
        <v>1</v>
      </c>
      <c r="J513" s="145">
        <f t="shared" si="33"/>
        <v>0.96932975349999995</v>
      </c>
      <c r="K513" s="146">
        <f t="shared" si="34"/>
        <v>91.932487649976139</v>
      </c>
    </row>
    <row r="514" spans="1:11">
      <c r="A514" s="138">
        <f t="shared" si="31"/>
        <v>2.1107589999999998</v>
      </c>
      <c r="B514" s="138">
        <v>2110.759</v>
      </c>
      <c r="C514" s="138">
        <v>97.09</v>
      </c>
      <c r="D514" s="138">
        <v>2.91</v>
      </c>
      <c r="E514" s="138">
        <v>96.917000000000002</v>
      </c>
      <c r="F514" s="138">
        <v>3.0830000000000002</v>
      </c>
      <c r="G514" s="138">
        <f t="shared" si="32"/>
        <v>96.917000000000002</v>
      </c>
      <c r="H514" s="138">
        <v>1</v>
      </c>
      <c r="I514" s="138">
        <v>1</v>
      </c>
      <c r="J514" s="145">
        <f t="shared" si="33"/>
        <v>0.96966292269999999</v>
      </c>
      <c r="K514" s="146">
        <f t="shared" si="34"/>
        <v>91.937524453214735</v>
      </c>
    </row>
    <row r="515" spans="1:11">
      <c r="A515" s="138">
        <f t="shared" si="31"/>
        <v>2.1139239999999999</v>
      </c>
      <c r="B515" s="138">
        <v>2113.924</v>
      </c>
      <c r="C515" s="138">
        <v>97.058000000000007</v>
      </c>
      <c r="D515" s="138">
        <v>2.9420000000000002</v>
      </c>
      <c r="E515" s="138">
        <v>96.89</v>
      </c>
      <c r="F515" s="138">
        <v>3.11</v>
      </c>
      <c r="G515" s="138">
        <f t="shared" si="32"/>
        <v>96.89</v>
      </c>
      <c r="H515" s="138">
        <v>1</v>
      </c>
      <c r="I515" s="138">
        <v>1</v>
      </c>
      <c r="J515" s="145">
        <f t="shared" si="33"/>
        <v>0.96999619719999997</v>
      </c>
      <c r="K515" s="146">
        <f t="shared" si="34"/>
        <v>91.943501932144443</v>
      </c>
    </row>
    <row r="516" spans="1:11">
      <c r="A516" s="138">
        <f t="shared" si="31"/>
        <v>2.117089</v>
      </c>
      <c r="B516" s="138">
        <v>2117.0889999999999</v>
      </c>
      <c r="C516" s="138">
        <v>97.025999999999996</v>
      </c>
      <c r="D516" s="138">
        <v>2.9740000000000002</v>
      </c>
      <c r="E516" s="138">
        <v>96.861999999999995</v>
      </c>
      <c r="F516" s="138">
        <v>3.1379999999999999</v>
      </c>
      <c r="G516" s="138">
        <f t="shared" si="32"/>
        <v>96.861999999999995</v>
      </c>
      <c r="H516" s="138">
        <v>1</v>
      </c>
      <c r="I516" s="138">
        <v>1</v>
      </c>
      <c r="J516" s="145">
        <f t="shared" si="33"/>
        <v>0.97032947169999995</v>
      </c>
      <c r="K516" s="146">
        <f t="shared" si="34"/>
        <v>91.948512531459997</v>
      </c>
    </row>
    <row r="517" spans="1:11">
      <c r="A517" s="138">
        <f t="shared" si="31"/>
        <v>2.1202529999999999</v>
      </c>
      <c r="B517" s="138">
        <v>2120.2530000000002</v>
      </c>
      <c r="C517" s="138">
        <v>96.992999999999995</v>
      </c>
      <c r="D517" s="138">
        <v>3.0070000000000001</v>
      </c>
      <c r="E517" s="138">
        <v>96.834000000000003</v>
      </c>
      <c r="F517" s="138">
        <v>3.1659999999999999</v>
      </c>
      <c r="G517" s="138">
        <f t="shared" si="32"/>
        <v>96.834000000000003</v>
      </c>
      <c r="H517" s="138">
        <v>1</v>
      </c>
      <c r="I517" s="138">
        <v>1</v>
      </c>
      <c r="J517" s="145">
        <f t="shared" si="33"/>
        <v>0.97066264089999998</v>
      </c>
      <c r="K517" s="146">
        <f t="shared" si="34"/>
        <v>91.953494897045232</v>
      </c>
    </row>
    <row r="518" spans="1:11">
      <c r="A518" s="138">
        <f t="shared" ref="A518:A581" si="35">B518/1000</f>
        <v>2.123418</v>
      </c>
      <c r="B518" s="138">
        <v>2123.4180000000001</v>
      </c>
      <c r="C518" s="138">
        <v>96.960999999999999</v>
      </c>
      <c r="D518" s="138">
        <v>3.0390000000000001</v>
      </c>
      <c r="E518" s="138">
        <v>96.805999999999997</v>
      </c>
      <c r="F518" s="138">
        <v>3.194</v>
      </c>
      <c r="G518" s="138">
        <f t="shared" ref="G518:G581" si="36">MIN(C518,E518)</f>
        <v>96.805999999999997</v>
      </c>
      <c r="H518" s="138">
        <v>1</v>
      </c>
      <c r="I518" s="138">
        <v>1</v>
      </c>
      <c r="J518" s="145">
        <f t="shared" ref="J518:J581" si="37">MIN(B518/1000*$M$1+$O$1,1)</f>
        <v>0.97099591539999996</v>
      </c>
      <c r="K518" s="146">
        <f t="shared" si="34"/>
        <v>91.958468982491596</v>
      </c>
    </row>
    <row r="519" spans="1:11">
      <c r="A519" s="138">
        <f t="shared" si="35"/>
        <v>2.126582</v>
      </c>
      <c r="B519" s="138">
        <v>2126.5819999999999</v>
      </c>
      <c r="C519" s="138">
        <v>96.929000000000002</v>
      </c>
      <c r="D519" s="138">
        <v>3.0710000000000002</v>
      </c>
      <c r="E519" s="138">
        <v>96.778000000000006</v>
      </c>
      <c r="F519" s="138">
        <v>3.222</v>
      </c>
      <c r="G519" s="138">
        <f t="shared" si="36"/>
        <v>96.778000000000006</v>
      </c>
      <c r="H519" s="138">
        <v>1</v>
      </c>
      <c r="I519" s="138">
        <v>1</v>
      </c>
      <c r="J519" s="145">
        <f t="shared" si="37"/>
        <v>0.9713290846</v>
      </c>
      <c r="K519" s="146">
        <f t="shared" ref="K519:K582" si="38">G519*H519*I519*J519*$G$2/100</f>
        <v>91.963414839976437</v>
      </c>
    </row>
    <row r="520" spans="1:11">
      <c r="A520" s="138">
        <f t="shared" si="35"/>
        <v>2.1297470000000001</v>
      </c>
      <c r="B520" s="138">
        <v>2129.7469999999998</v>
      </c>
      <c r="C520" s="138">
        <v>96.896000000000001</v>
      </c>
      <c r="D520" s="138">
        <v>3.1040000000000001</v>
      </c>
      <c r="E520" s="138">
        <v>96.75</v>
      </c>
      <c r="F520" s="138">
        <v>3.25</v>
      </c>
      <c r="G520" s="138">
        <f t="shared" si="36"/>
        <v>96.75</v>
      </c>
      <c r="H520" s="138">
        <v>1</v>
      </c>
      <c r="I520" s="138">
        <v>1</v>
      </c>
      <c r="J520" s="145">
        <f t="shared" si="37"/>
        <v>0.97166235909999998</v>
      </c>
      <c r="K520" s="146">
        <f t="shared" si="38"/>
        <v>91.968352411553539</v>
      </c>
    </row>
    <row r="521" spans="1:11">
      <c r="A521" s="138">
        <f t="shared" si="35"/>
        <v>2.132911</v>
      </c>
      <c r="B521" s="138">
        <v>2132.9110000000001</v>
      </c>
      <c r="C521" s="138">
        <v>96.864000000000004</v>
      </c>
      <c r="D521" s="138">
        <v>3.1360000000000001</v>
      </c>
      <c r="E521" s="138">
        <v>96.721999999999994</v>
      </c>
      <c r="F521" s="138">
        <v>3.278</v>
      </c>
      <c r="G521" s="138">
        <f t="shared" si="36"/>
        <v>96.721999999999994</v>
      </c>
      <c r="H521" s="138">
        <v>1</v>
      </c>
      <c r="I521" s="138">
        <v>1</v>
      </c>
      <c r="J521" s="145">
        <f t="shared" si="37"/>
        <v>0.97199552829999991</v>
      </c>
      <c r="K521" s="146">
        <f t="shared" si="38"/>
        <v>91.97326176093793</v>
      </c>
    </row>
    <row r="522" spans="1:11">
      <c r="A522" s="138">
        <f t="shared" si="35"/>
        <v>2.1360760000000001</v>
      </c>
      <c r="B522" s="138">
        <v>2136.076</v>
      </c>
      <c r="C522" s="138">
        <v>96.831000000000003</v>
      </c>
      <c r="D522" s="138">
        <v>3.169</v>
      </c>
      <c r="E522" s="138">
        <v>96.694000000000003</v>
      </c>
      <c r="F522" s="138">
        <v>3.306</v>
      </c>
      <c r="G522" s="138">
        <f t="shared" si="36"/>
        <v>96.694000000000003</v>
      </c>
      <c r="H522" s="138">
        <v>1</v>
      </c>
      <c r="I522" s="138">
        <v>1</v>
      </c>
      <c r="J522" s="145">
        <f t="shared" si="37"/>
        <v>0.9723288028</v>
      </c>
      <c r="K522" s="146">
        <f t="shared" si="38"/>
        <v>91.978162818645828</v>
      </c>
    </row>
    <row r="523" spans="1:11">
      <c r="A523" s="138">
        <f t="shared" si="35"/>
        <v>2.1392410000000002</v>
      </c>
      <c r="B523" s="138">
        <v>2139.241</v>
      </c>
      <c r="C523" s="138">
        <v>96.798000000000002</v>
      </c>
      <c r="D523" s="138">
        <v>3.202</v>
      </c>
      <c r="E523" s="138">
        <v>96.665000000000006</v>
      </c>
      <c r="F523" s="138">
        <v>3.335</v>
      </c>
      <c r="G523" s="138">
        <f t="shared" si="36"/>
        <v>96.665000000000006</v>
      </c>
      <c r="H523" s="138">
        <v>1</v>
      </c>
      <c r="I523" s="138">
        <v>1</v>
      </c>
      <c r="J523" s="145">
        <f t="shared" si="37"/>
        <v>0.97266207729999998</v>
      </c>
      <c r="K523" s="146">
        <f t="shared" si="38"/>
        <v>91.982094062666661</v>
      </c>
    </row>
    <row r="524" spans="1:11">
      <c r="A524" s="138">
        <f t="shared" si="35"/>
        <v>2.1424050000000001</v>
      </c>
      <c r="B524" s="138">
        <v>2142.4050000000002</v>
      </c>
      <c r="C524" s="138">
        <v>96.765000000000001</v>
      </c>
      <c r="D524" s="138">
        <v>3.2349999999999999</v>
      </c>
      <c r="E524" s="138">
        <v>96.637</v>
      </c>
      <c r="F524" s="138">
        <v>3.363</v>
      </c>
      <c r="G524" s="138">
        <f t="shared" si="36"/>
        <v>96.637</v>
      </c>
      <c r="H524" s="138">
        <v>1</v>
      </c>
      <c r="I524" s="138">
        <v>1</v>
      </c>
      <c r="J524" s="145">
        <f t="shared" si="37"/>
        <v>0.97299524650000002</v>
      </c>
      <c r="K524" s="146">
        <f t="shared" si="38"/>
        <v>91.986948322518856</v>
      </c>
    </row>
    <row r="525" spans="1:11">
      <c r="A525" s="138">
        <f t="shared" si="35"/>
        <v>2.1455700000000002</v>
      </c>
      <c r="B525" s="138">
        <v>2145.5700000000002</v>
      </c>
      <c r="C525" s="138">
        <v>96.733000000000004</v>
      </c>
      <c r="D525" s="138">
        <v>3.2669999999999999</v>
      </c>
      <c r="E525" s="138">
        <v>96.608999999999995</v>
      </c>
      <c r="F525" s="138">
        <v>3.391</v>
      </c>
      <c r="G525" s="138">
        <f t="shared" si="36"/>
        <v>96.608999999999995</v>
      </c>
      <c r="H525" s="138">
        <v>1</v>
      </c>
      <c r="I525" s="138">
        <v>1</v>
      </c>
      <c r="J525" s="145">
        <f t="shared" si="37"/>
        <v>0.973328521</v>
      </c>
      <c r="K525" s="146">
        <f t="shared" si="38"/>
        <v>91.991794281938212</v>
      </c>
    </row>
    <row r="526" spans="1:11">
      <c r="A526" s="138">
        <f t="shared" si="35"/>
        <v>2.1487340000000001</v>
      </c>
      <c r="B526" s="138">
        <v>2148.7339999999999</v>
      </c>
      <c r="C526" s="138">
        <v>96.7</v>
      </c>
      <c r="D526" s="138">
        <v>3.3</v>
      </c>
      <c r="E526" s="138">
        <v>96.581000000000003</v>
      </c>
      <c r="F526" s="138">
        <v>3.419</v>
      </c>
      <c r="G526" s="138">
        <f t="shared" si="36"/>
        <v>96.581000000000003</v>
      </c>
      <c r="H526" s="138">
        <v>1</v>
      </c>
      <c r="I526" s="138">
        <v>1</v>
      </c>
      <c r="J526" s="145">
        <f t="shared" si="37"/>
        <v>0.97366169019999993</v>
      </c>
      <c r="K526" s="146">
        <f t="shared" si="38"/>
        <v>91.996612033690013</v>
      </c>
    </row>
    <row r="527" spans="1:11">
      <c r="A527" s="138">
        <f t="shared" si="35"/>
        <v>2.1518989999999998</v>
      </c>
      <c r="B527" s="138">
        <v>2151.8989999999999</v>
      </c>
      <c r="C527" s="138">
        <v>96.667000000000002</v>
      </c>
      <c r="D527" s="138">
        <v>3.3330000000000002</v>
      </c>
      <c r="E527" s="138">
        <v>96.552000000000007</v>
      </c>
      <c r="F527" s="138">
        <v>3.448</v>
      </c>
      <c r="G527" s="138">
        <f t="shared" si="36"/>
        <v>96.552000000000007</v>
      </c>
      <c r="H527" s="138">
        <v>1</v>
      </c>
      <c r="I527" s="138">
        <v>1</v>
      </c>
      <c r="J527" s="145">
        <f t="shared" si="37"/>
        <v>0.97399496469999991</v>
      </c>
      <c r="K527" s="146">
        <f t="shared" si="38"/>
        <v>92.000468619966199</v>
      </c>
    </row>
    <row r="528" spans="1:11">
      <c r="A528" s="138">
        <f t="shared" si="35"/>
        <v>2.1550630000000002</v>
      </c>
      <c r="B528" s="138">
        <v>2155.0630000000001</v>
      </c>
      <c r="C528" s="138">
        <v>96.634</v>
      </c>
      <c r="D528" s="138">
        <v>3.3660000000000001</v>
      </c>
      <c r="E528" s="138">
        <v>96.524000000000001</v>
      </c>
      <c r="F528" s="138">
        <v>3.476</v>
      </c>
      <c r="G528" s="138">
        <f t="shared" si="36"/>
        <v>96.524000000000001</v>
      </c>
      <c r="H528" s="138">
        <v>1</v>
      </c>
      <c r="I528" s="138">
        <v>1</v>
      </c>
      <c r="J528" s="145">
        <f t="shared" si="37"/>
        <v>0.97432813389999995</v>
      </c>
      <c r="K528" s="146">
        <f t="shared" si="38"/>
        <v>92.005249537678168</v>
      </c>
    </row>
    <row r="529" spans="1:11">
      <c r="A529" s="138">
        <f t="shared" si="35"/>
        <v>2.1582280000000003</v>
      </c>
      <c r="B529" s="138">
        <v>2158.2280000000001</v>
      </c>
      <c r="C529" s="138">
        <v>96.600999999999999</v>
      </c>
      <c r="D529" s="138">
        <v>3.399</v>
      </c>
      <c r="E529" s="138">
        <v>96.495000000000005</v>
      </c>
      <c r="F529" s="138">
        <v>3.5049999999999999</v>
      </c>
      <c r="G529" s="138">
        <f t="shared" si="36"/>
        <v>96.495000000000005</v>
      </c>
      <c r="H529" s="138">
        <v>1</v>
      </c>
      <c r="I529" s="138">
        <v>1</v>
      </c>
      <c r="J529" s="145">
        <f t="shared" si="37"/>
        <v>0.97466140840000004</v>
      </c>
      <c r="K529" s="146">
        <f t="shared" si="38"/>
        <v>92.009068632060803</v>
      </c>
    </row>
    <row r="530" spans="1:11">
      <c r="A530" s="138">
        <f t="shared" si="35"/>
        <v>2.1613919999999998</v>
      </c>
      <c r="B530" s="138">
        <v>2161.3919999999998</v>
      </c>
      <c r="C530" s="138">
        <v>96.567999999999998</v>
      </c>
      <c r="D530" s="138">
        <v>3.4319999999999999</v>
      </c>
      <c r="E530" s="138">
        <v>96.466999999999999</v>
      </c>
      <c r="F530" s="138">
        <v>3.5329999999999999</v>
      </c>
      <c r="G530" s="138">
        <f t="shared" si="36"/>
        <v>96.466999999999999</v>
      </c>
      <c r="H530" s="138">
        <v>1</v>
      </c>
      <c r="I530" s="138">
        <v>1</v>
      </c>
      <c r="J530" s="145">
        <f t="shared" si="37"/>
        <v>0.97499457759999997</v>
      </c>
      <c r="K530" s="146">
        <f t="shared" si="38"/>
        <v>92.013812715732925</v>
      </c>
    </row>
    <row r="531" spans="1:11">
      <c r="A531" s="138">
        <f t="shared" si="35"/>
        <v>2.1645569999999998</v>
      </c>
      <c r="B531" s="138">
        <v>2164.5569999999998</v>
      </c>
      <c r="C531" s="138">
        <v>96.534999999999997</v>
      </c>
      <c r="D531" s="138">
        <v>3.4649999999999999</v>
      </c>
      <c r="E531" s="138">
        <v>96.438000000000002</v>
      </c>
      <c r="F531" s="138">
        <v>3.5619999999999998</v>
      </c>
      <c r="G531" s="138">
        <f t="shared" si="36"/>
        <v>96.438000000000002</v>
      </c>
      <c r="H531" s="138">
        <v>1</v>
      </c>
      <c r="I531" s="138">
        <v>1</v>
      </c>
      <c r="J531" s="145">
        <f t="shared" si="37"/>
        <v>0.97532785209999995</v>
      </c>
      <c r="K531" s="146">
        <f t="shared" si="38"/>
        <v>92.017594318222024</v>
      </c>
    </row>
    <row r="532" spans="1:11">
      <c r="A532" s="138">
        <f t="shared" si="35"/>
        <v>2.1677220000000004</v>
      </c>
      <c r="B532" s="138">
        <v>2167.7220000000002</v>
      </c>
      <c r="C532" s="138">
        <v>96.501999999999995</v>
      </c>
      <c r="D532" s="138">
        <v>3.4980000000000002</v>
      </c>
      <c r="E532" s="138">
        <v>96.41</v>
      </c>
      <c r="F532" s="138">
        <v>3.59</v>
      </c>
      <c r="G532" s="138">
        <f t="shared" si="36"/>
        <v>96.41</v>
      </c>
      <c r="H532" s="138">
        <v>1</v>
      </c>
      <c r="I532" s="138">
        <v>1</v>
      </c>
      <c r="J532" s="145">
        <f t="shared" si="37"/>
        <v>0.97566112660000004</v>
      </c>
      <c r="K532" s="146">
        <f t="shared" si="38"/>
        <v>92.022311499529508</v>
      </c>
    </row>
    <row r="533" spans="1:11">
      <c r="A533" s="138">
        <f t="shared" si="35"/>
        <v>2.1708859999999999</v>
      </c>
      <c r="B533" s="138">
        <v>2170.886</v>
      </c>
      <c r="C533" s="138">
        <v>96.468999999999994</v>
      </c>
      <c r="D533" s="138">
        <v>3.5310000000000001</v>
      </c>
      <c r="E533" s="138">
        <v>96.381</v>
      </c>
      <c r="F533" s="138">
        <v>3.6190000000000002</v>
      </c>
      <c r="G533" s="138">
        <f t="shared" si="36"/>
        <v>96.381</v>
      </c>
      <c r="H533" s="138">
        <v>1</v>
      </c>
      <c r="I533" s="138">
        <v>1</v>
      </c>
      <c r="J533" s="145">
        <f t="shared" si="37"/>
        <v>0.97599429579999997</v>
      </c>
      <c r="K533" s="146">
        <f t="shared" si="38"/>
        <v>92.026045678449847</v>
      </c>
    </row>
    <row r="534" spans="1:11">
      <c r="A534" s="138">
        <f t="shared" si="35"/>
        <v>2.174051</v>
      </c>
      <c r="B534" s="138">
        <v>2174.0509999999999</v>
      </c>
      <c r="C534" s="138">
        <v>96.436000000000007</v>
      </c>
      <c r="D534" s="138">
        <v>3.5640000000000001</v>
      </c>
      <c r="E534" s="138">
        <v>96.352999999999994</v>
      </c>
      <c r="F534" s="138">
        <v>3.6469999999999998</v>
      </c>
      <c r="G534" s="138">
        <f t="shared" si="36"/>
        <v>96.352999999999994</v>
      </c>
      <c r="H534" s="138">
        <v>1</v>
      </c>
      <c r="I534" s="138">
        <v>1</v>
      </c>
      <c r="J534" s="145">
        <f t="shared" si="37"/>
        <v>0.97632757029999995</v>
      </c>
      <c r="K534" s="146">
        <f t="shared" si="38"/>
        <v>92.030726019845659</v>
      </c>
    </row>
    <row r="535" spans="1:11">
      <c r="A535" s="138">
        <f t="shared" si="35"/>
        <v>2.1772150000000003</v>
      </c>
      <c r="B535" s="138">
        <v>2177.2150000000001</v>
      </c>
      <c r="C535" s="138">
        <v>96.402000000000001</v>
      </c>
      <c r="D535" s="138">
        <v>3.5979999999999999</v>
      </c>
      <c r="E535" s="138">
        <v>96.323999999999998</v>
      </c>
      <c r="F535" s="138">
        <v>3.6760000000000002</v>
      </c>
      <c r="G535" s="138">
        <f t="shared" si="36"/>
        <v>96.323999999999998</v>
      </c>
      <c r="H535" s="138">
        <v>1</v>
      </c>
      <c r="I535" s="138">
        <v>1</v>
      </c>
      <c r="J535" s="145">
        <f t="shared" si="37"/>
        <v>0.97666073949999999</v>
      </c>
      <c r="K535" s="146">
        <f t="shared" si="38"/>
        <v>92.034422712744302</v>
      </c>
    </row>
    <row r="536" spans="1:11">
      <c r="A536" s="138">
        <f t="shared" si="35"/>
        <v>2.18038</v>
      </c>
      <c r="B536" s="138">
        <v>2180.38</v>
      </c>
      <c r="C536" s="138">
        <v>96.369</v>
      </c>
      <c r="D536" s="138">
        <v>3.6309999999999998</v>
      </c>
      <c r="E536" s="138">
        <v>96.296000000000006</v>
      </c>
      <c r="F536" s="138">
        <v>3.7040000000000002</v>
      </c>
      <c r="G536" s="138">
        <f t="shared" si="36"/>
        <v>96.296000000000006</v>
      </c>
      <c r="H536" s="138">
        <v>1</v>
      </c>
      <c r="I536" s="138">
        <v>1</v>
      </c>
      <c r="J536" s="145">
        <f t="shared" si="37"/>
        <v>0.97699401399999997</v>
      </c>
      <c r="K536" s="146">
        <f t="shared" si="38"/>
        <v>92.039066214228484</v>
      </c>
    </row>
    <row r="537" spans="1:11">
      <c r="A537" s="138">
        <f t="shared" si="35"/>
        <v>2.1835439999999999</v>
      </c>
      <c r="B537" s="138">
        <v>2183.5439999999999</v>
      </c>
      <c r="C537" s="138">
        <v>96.335999999999999</v>
      </c>
      <c r="D537" s="138">
        <v>3.6640000000000001</v>
      </c>
      <c r="E537" s="138">
        <v>96.266999999999996</v>
      </c>
      <c r="F537" s="138">
        <v>3.7330000000000001</v>
      </c>
      <c r="G537" s="138">
        <f t="shared" si="36"/>
        <v>96.266999999999996</v>
      </c>
      <c r="H537" s="138">
        <v>1</v>
      </c>
      <c r="I537" s="138">
        <v>1</v>
      </c>
      <c r="J537" s="145">
        <f t="shared" si="37"/>
        <v>0.97732718319999989</v>
      </c>
      <c r="K537" s="146">
        <f t="shared" si="38"/>
        <v>92.042725421105402</v>
      </c>
    </row>
    <row r="538" spans="1:11">
      <c r="A538" s="138">
        <f t="shared" si="35"/>
        <v>2.186709</v>
      </c>
      <c r="B538" s="138">
        <v>2186.7089999999998</v>
      </c>
      <c r="C538" s="138">
        <v>96.302000000000007</v>
      </c>
      <c r="D538" s="138">
        <v>3.698</v>
      </c>
      <c r="E538" s="138">
        <v>96.238</v>
      </c>
      <c r="F538" s="138">
        <v>3.762</v>
      </c>
      <c r="G538" s="138">
        <f t="shared" si="36"/>
        <v>96.238</v>
      </c>
      <c r="H538" s="138">
        <v>1</v>
      </c>
      <c r="I538" s="138">
        <v>1</v>
      </c>
      <c r="J538" s="145">
        <f t="shared" si="37"/>
        <v>0.97766045769999999</v>
      </c>
      <c r="K538" s="146">
        <f t="shared" si="38"/>
        <v>92.04637563745213</v>
      </c>
    </row>
    <row r="539" spans="1:11">
      <c r="A539" s="138">
        <f t="shared" si="35"/>
        <v>2.189873</v>
      </c>
      <c r="B539" s="138">
        <v>2189.873</v>
      </c>
      <c r="C539" s="138">
        <v>96.269000000000005</v>
      </c>
      <c r="D539" s="138">
        <v>3.7309999999999999</v>
      </c>
      <c r="E539" s="138">
        <v>96.209000000000003</v>
      </c>
      <c r="F539" s="138">
        <v>3.7909999999999999</v>
      </c>
      <c r="G539" s="138">
        <f t="shared" si="36"/>
        <v>96.209000000000003</v>
      </c>
      <c r="H539" s="138">
        <v>1</v>
      </c>
      <c r="I539" s="138">
        <v>1</v>
      </c>
      <c r="J539" s="145">
        <f t="shared" si="37"/>
        <v>0.97799362690000002</v>
      </c>
      <c r="K539" s="146">
        <f t="shared" si="38"/>
        <v>92.049997032367941</v>
      </c>
    </row>
    <row r="540" spans="1:11">
      <c r="A540" s="138">
        <f t="shared" si="35"/>
        <v>2.193038</v>
      </c>
      <c r="B540" s="138">
        <v>2193.038</v>
      </c>
      <c r="C540" s="138">
        <v>96.236000000000004</v>
      </c>
      <c r="D540" s="138">
        <v>3.7639999999999998</v>
      </c>
      <c r="E540" s="138">
        <v>96.180999999999997</v>
      </c>
      <c r="F540" s="138">
        <v>3.819</v>
      </c>
      <c r="G540" s="138">
        <f t="shared" si="36"/>
        <v>96.180999999999997</v>
      </c>
      <c r="H540" s="138">
        <v>1</v>
      </c>
      <c r="I540" s="138">
        <v>1</v>
      </c>
      <c r="J540" s="145">
        <f t="shared" si="37"/>
        <v>0.9783269014</v>
      </c>
      <c r="K540" s="146">
        <f t="shared" si="38"/>
        <v>92.054566527986282</v>
      </c>
    </row>
    <row r="541" spans="1:11">
      <c r="A541" s="138">
        <f t="shared" si="35"/>
        <v>2.1962030000000001</v>
      </c>
      <c r="B541" s="138">
        <v>2196.203</v>
      </c>
      <c r="C541" s="138">
        <v>96.201999999999998</v>
      </c>
      <c r="D541" s="138">
        <v>3.798</v>
      </c>
      <c r="E541" s="138">
        <v>96.152000000000001</v>
      </c>
      <c r="F541" s="138">
        <v>3.8479999999999999</v>
      </c>
      <c r="G541" s="138">
        <f t="shared" si="36"/>
        <v>96.152000000000001</v>
      </c>
      <c r="H541" s="138">
        <v>1</v>
      </c>
      <c r="I541" s="138">
        <v>1</v>
      </c>
      <c r="J541" s="145">
        <f t="shared" si="37"/>
        <v>0.97866017589999998</v>
      </c>
      <c r="K541" s="146">
        <f t="shared" si="38"/>
        <v>92.058160341977725</v>
      </c>
    </row>
    <row r="542" spans="1:11">
      <c r="A542" s="138">
        <f t="shared" si="35"/>
        <v>2.1993670000000001</v>
      </c>
      <c r="B542" s="138">
        <v>2199.3670000000002</v>
      </c>
      <c r="C542" s="138">
        <v>96.168999999999997</v>
      </c>
      <c r="D542" s="138">
        <v>3.831</v>
      </c>
      <c r="E542" s="138">
        <v>96.123000000000005</v>
      </c>
      <c r="F542" s="138">
        <v>3.8769999999999998</v>
      </c>
      <c r="G542" s="138">
        <f t="shared" si="36"/>
        <v>96.123000000000005</v>
      </c>
      <c r="H542" s="138">
        <v>1</v>
      </c>
      <c r="I542" s="138">
        <v>1</v>
      </c>
      <c r="J542" s="145">
        <f t="shared" si="37"/>
        <v>0.97899334509999991</v>
      </c>
      <c r="K542" s="146">
        <f t="shared" si="38"/>
        <v>92.061725343397569</v>
      </c>
    </row>
    <row r="543" spans="1:11">
      <c r="A543" s="138">
        <f t="shared" si="35"/>
        <v>2.2025320000000002</v>
      </c>
      <c r="B543" s="138">
        <v>2202.5320000000002</v>
      </c>
      <c r="C543" s="138">
        <v>96.135000000000005</v>
      </c>
      <c r="D543" s="138">
        <v>3.8650000000000002</v>
      </c>
      <c r="E543" s="138">
        <v>96.093999999999994</v>
      </c>
      <c r="F543" s="138">
        <v>3.9060000000000001</v>
      </c>
      <c r="G543" s="138">
        <f t="shared" si="36"/>
        <v>96.093999999999994</v>
      </c>
      <c r="H543" s="138">
        <v>1</v>
      </c>
      <c r="I543" s="138">
        <v>1</v>
      </c>
      <c r="J543" s="145">
        <f t="shared" si="37"/>
        <v>0.9793266196</v>
      </c>
      <c r="K543" s="146">
        <f t="shared" si="38"/>
        <v>92.065281339453009</v>
      </c>
    </row>
    <row r="544" spans="1:11">
      <c r="A544" s="138">
        <f t="shared" si="35"/>
        <v>2.2056960000000001</v>
      </c>
      <c r="B544" s="138">
        <v>2205.6959999999999</v>
      </c>
      <c r="C544" s="138">
        <v>96.102000000000004</v>
      </c>
      <c r="D544" s="138">
        <v>3.8980000000000001</v>
      </c>
      <c r="E544" s="138">
        <v>96.066000000000003</v>
      </c>
      <c r="F544" s="138">
        <v>3.9340000000000002</v>
      </c>
      <c r="G544" s="138">
        <f t="shared" si="36"/>
        <v>96.066000000000003</v>
      </c>
      <c r="H544" s="138">
        <v>1</v>
      </c>
      <c r="I544" s="138">
        <v>1</v>
      </c>
      <c r="J544" s="145">
        <f t="shared" si="37"/>
        <v>0.97965978880000004</v>
      </c>
      <c r="K544" s="146">
        <f t="shared" si="38"/>
        <v>92.069766930083134</v>
      </c>
    </row>
    <row r="545" spans="1:11">
      <c r="A545" s="138">
        <f t="shared" si="35"/>
        <v>2.2088609999999997</v>
      </c>
      <c r="B545" s="138">
        <v>2208.8609999999999</v>
      </c>
      <c r="C545" s="138">
        <v>96.067999999999998</v>
      </c>
      <c r="D545" s="138">
        <v>3.9319999999999999</v>
      </c>
      <c r="E545" s="138">
        <v>96.037000000000006</v>
      </c>
      <c r="F545" s="138">
        <v>3.9630000000000001</v>
      </c>
      <c r="G545" s="138">
        <f t="shared" si="36"/>
        <v>96.037000000000006</v>
      </c>
      <c r="H545" s="138">
        <v>1</v>
      </c>
      <c r="I545" s="138">
        <v>1</v>
      </c>
      <c r="J545" s="145">
        <f t="shared" si="37"/>
        <v>0.97999306329999991</v>
      </c>
      <c r="K545" s="146">
        <f t="shared" si="38"/>
        <v>92.073285434245008</v>
      </c>
    </row>
    <row r="546" spans="1:11">
      <c r="A546" s="138">
        <f t="shared" si="35"/>
        <v>2.2120250000000001</v>
      </c>
      <c r="B546" s="138">
        <v>2212.0250000000001</v>
      </c>
      <c r="C546" s="138">
        <v>96.034999999999997</v>
      </c>
      <c r="D546" s="138">
        <v>3.9649999999999999</v>
      </c>
      <c r="E546" s="138">
        <v>96.007999999999996</v>
      </c>
      <c r="F546" s="138">
        <v>3.992</v>
      </c>
      <c r="G546" s="138">
        <f t="shared" si="36"/>
        <v>96.007999999999996</v>
      </c>
      <c r="H546" s="138">
        <v>1</v>
      </c>
      <c r="I546" s="138">
        <v>1</v>
      </c>
      <c r="J546" s="145">
        <f t="shared" si="37"/>
        <v>0.98032623249999995</v>
      </c>
      <c r="K546" s="146">
        <f t="shared" si="38"/>
        <v>92.07677513768202</v>
      </c>
    </row>
    <row r="547" spans="1:11">
      <c r="A547" s="138">
        <f t="shared" si="35"/>
        <v>2.2151900000000002</v>
      </c>
      <c r="B547" s="138">
        <v>2215.19</v>
      </c>
      <c r="C547" s="138">
        <v>96.001000000000005</v>
      </c>
      <c r="D547" s="138">
        <v>3.9990000000000001</v>
      </c>
      <c r="E547" s="138">
        <v>95.978999999999999</v>
      </c>
      <c r="F547" s="138">
        <v>4.0209999999999999</v>
      </c>
      <c r="G547" s="138">
        <f t="shared" si="36"/>
        <v>95.978999999999999</v>
      </c>
      <c r="H547" s="138">
        <v>1</v>
      </c>
      <c r="I547" s="138">
        <v>1</v>
      </c>
      <c r="J547" s="145">
        <f t="shared" si="37"/>
        <v>0.98065950699999993</v>
      </c>
      <c r="K547" s="146">
        <f t="shared" si="38"/>
        <v>92.080255823907933</v>
      </c>
    </row>
    <row r="548" spans="1:11">
      <c r="A548" s="138">
        <f t="shared" si="35"/>
        <v>2.2183539999999997</v>
      </c>
      <c r="B548" s="138">
        <v>2218.3539999999998</v>
      </c>
      <c r="C548" s="138">
        <v>95.968000000000004</v>
      </c>
      <c r="D548" s="138">
        <v>4.032</v>
      </c>
      <c r="E548" s="138">
        <v>95.95</v>
      </c>
      <c r="F548" s="138">
        <v>4.05</v>
      </c>
      <c r="G548" s="138">
        <f t="shared" si="36"/>
        <v>95.95</v>
      </c>
      <c r="H548" s="138">
        <v>1</v>
      </c>
      <c r="I548" s="138">
        <v>1</v>
      </c>
      <c r="J548" s="145">
        <f t="shared" si="37"/>
        <v>0.98099267619999997</v>
      </c>
      <c r="K548" s="146">
        <f t="shared" si="38"/>
        <v>92.083707715383824</v>
      </c>
    </row>
    <row r="549" spans="1:11">
      <c r="A549" s="138">
        <f t="shared" si="35"/>
        <v>2.2215189999999998</v>
      </c>
      <c r="B549" s="138">
        <v>2221.5189999999998</v>
      </c>
      <c r="C549" s="138">
        <v>95.933999999999997</v>
      </c>
      <c r="D549" s="138">
        <v>4.0659999999999998</v>
      </c>
      <c r="E549" s="138">
        <v>95.921000000000006</v>
      </c>
      <c r="F549" s="138">
        <v>4.0789999999999997</v>
      </c>
      <c r="G549" s="138">
        <f t="shared" si="36"/>
        <v>95.921000000000006</v>
      </c>
      <c r="H549" s="138">
        <v>1</v>
      </c>
      <c r="I549" s="138">
        <v>1</v>
      </c>
      <c r="J549" s="145">
        <f t="shared" si="37"/>
        <v>0.98132595069999995</v>
      </c>
      <c r="K549" s="146">
        <f t="shared" si="38"/>
        <v>92.087150583673761</v>
      </c>
    </row>
    <row r="550" spans="1:11">
      <c r="A550" s="138">
        <f t="shared" si="35"/>
        <v>2.2246840000000003</v>
      </c>
      <c r="B550" s="138">
        <v>2224.6840000000002</v>
      </c>
      <c r="C550" s="138">
        <v>95.900999999999996</v>
      </c>
      <c r="D550" s="138">
        <v>4.0990000000000002</v>
      </c>
      <c r="E550" s="138">
        <v>95.891999999999996</v>
      </c>
      <c r="F550" s="138">
        <v>4.1079999999999997</v>
      </c>
      <c r="G550" s="138">
        <f t="shared" si="36"/>
        <v>95.891999999999996</v>
      </c>
      <c r="H550" s="138">
        <v>1</v>
      </c>
      <c r="I550" s="138">
        <v>1</v>
      </c>
      <c r="J550" s="145">
        <f t="shared" si="37"/>
        <v>0.98165922520000004</v>
      </c>
      <c r="K550" s="146">
        <f t="shared" si="38"/>
        <v>92.090574541501937</v>
      </c>
    </row>
    <row r="551" spans="1:11">
      <c r="A551" s="138">
        <f t="shared" si="35"/>
        <v>2.2278479999999998</v>
      </c>
      <c r="B551" s="138">
        <v>2227.848</v>
      </c>
      <c r="C551" s="138">
        <v>95.867000000000004</v>
      </c>
      <c r="D551" s="138">
        <v>4.133</v>
      </c>
      <c r="E551" s="138">
        <v>95.863</v>
      </c>
      <c r="F551" s="138">
        <v>4.1369999999999996</v>
      </c>
      <c r="G551" s="138">
        <f t="shared" si="36"/>
        <v>95.863</v>
      </c>
      <c r="H551" s="138">
        <v>1</v>
      </c>
      <c r="I551" s="138">
        <v>1</v>
      </c>
      <c r="J551" s="145">
        <f t="shared" si="37"/>
        <v>0.98199239439999997</v>
      </c>
      <c r="K551" s="146">
        <f t="shared" si="38"/>
        <v>92.093969713542435</v>
      </c>
    </row>
    <row r="552" spans="1:11">
      <c r="A552" s="138">
        <f t="shared" si="35"/>
        <v>2.2310129999999999</v>
      </c>
      <c r="B552" s="138">
        <v>2231.0129999999999</v>
      </c>
      <c r="C552" s="138">
        <v>95.832999999999998</v>
      </c>
      <c r="D552" s="138">
        <v>4.1669999999999998</v>
      </c>
      <c r="E552" s="138">
        <v>95.834000000000003</v>
      </c>
      <c r="F552" s="138">
        <v>4.1660000000000004</v>
      </c>
      <c r="G552" s="138">
        <f t="shared" si="36"/>
        <v>95.832999999999998</v>
      </c>
      <c r="H552" s="138">
        <v>1</v>
      </c>
      <c r="I552" s="138">
        <v>1</v>
      </c>
      <c r="J552" s="145">
        <f t="shared" si="37"/>
        <v>0.98232566889999995</v>
      </c>
      <c r="K552" s="146">
        <f t="shared" si="38"/>
        <v>92.096394844232734</v>
      </c>
    </row>
    <row r="553" spans="1:11">
      <c r="A553" s="138">
        <f t="shared" si="35"/>
        <v>2.2341770000000003</v>
      </c>
      <c r="B553" s="138">
        <v>2234.1770000000001</v>
      </c>
      <c r="C553" s="138">
        <v>95.8</v>
      </c>
      <c r="D553" s="138">
        <v>4.2</v>
      </c>
      <c r="E553" s="138">
        <v>95.805000000000007</v>
      </c>
      <c r="F553" s="138">
        <v>4.1950000000000003</v>
      </c>
      <c r="G553" s="138">
        <f t="shared" si="36"/>
        <v>95.8</v>
      </c>
      <c r="H553" s="138">
        <v>1</v>
      </c>
      <c r="I553" s="138">
        <v>1</v>
      </c>
      <c r="J553" s="145">
        <f t="shared" si="37"/>
        <v>0.98265883809999999</v>
      </c>
      <c r="K553" s="146">
        <f t="shared" si="38"/>
        <v>92.095906537807437</v>
      </c>
    </row>
    <row r="554" spans="1:11">
      <c r="A554" s="138">
        <f t="shared" si="35"/>
        <v>2.2373419999999999</v>
      </c>
      <c r="B554" s="138">
        <v>2237.3420000000001</v>
      </c>
      <c r="C554" s="138">
        <v>95.766000000000005</v>
      </c>
      <c r="D554" s="138">
        <v>4.234</v>
      </c>
      <c r="E554" s="138">
        <v>95.775999999999996</v>
      </c>
      <c r="F554" s="138">
        <v>4.2240000000000002</v>
      </c>
      <c r="G554" s="138">
        <f t="shared" si="36"/>
        <v>95.766000000000005</v>
      </c>
      <c r="H554" s="138">
        <v>1</v>
      </c>
      <c r="I554" s="138">
        <v>1</v>
      </c>
      <c r="J554" s="145">
        <f t="shared" si="37"/>
        <v>0.98299211259999997</v>
      </c>
      <c r="K554" s="146">
        <f t="shared" si="38"/>
        <v>92.094444923632636</v>
      </c>
    </row>
    <row r="555" spans="1:11">
      <c r="A555" s="138">
        <f t="shared" si="35"/>
        <v>2.2405059999999999</v>
      </c>
      <c r="B555" s="138">
        <v>2240.5059999999999</v>
      </c>
      <c r="C555" s="138">
        <v>95.731999999999999</v>
      </c>
      <c r="D555" s="138">
        <v>4.2679999999999998</v>
      </c>
      <c r="E555" s="138">
        <v>95.747</v>
      </c>
      <c r="F555" s="138">
        <v>4.2530000000000001</v>
      </c>
      <c r="G555" s="138">
        <f t="shared" si="36"/>
        <v>95.731999999999999</v>
      </c>
      <c r="H555" s="138">
        <v>1</v>
      </c>
      <c r="I555" s="138">
        <v>1</v>
      </c>
      <c r="J555" s="145">
        <f t="shared" si="37"/>
        <v>0.98332528180000001</v>
      </c>
      <c r="K555" s="146">
        <f t="shared" si="38"/>
        <v>92.092951276740678</v>
      </c>
    </row>
    <row r="556" spans="1:11">
      <c r="A556" s="138">
        <f t="shared" si="35"/>
        <v>2.243671</v>
      </c>
      <c r="B556" s="138">
        <v>2243.6709999999998</v>
      </c>
      <c r="C556" s="138">
        <v>95.698999999999998</v>
      </c>
      <c r="D556" s="138">
        <v>4.3010000000000002</v>
      </c>
      <c r="E556" s="138">
        <v>95.718000000000004</v>
      </c>
      <c r="F556" s="138">
        <v>4.282</v>
      </c>
      <c r="G556" s="138">
        <f t="shared" si="36"/>
        <v>95.698999999999998</v>
      </c>
      <c r="H556" s="138">
        <v>1</v>
      </c>
      <c r="I556" s="138">
        <v>1</v>
      </c>
      <c r="J556" s="145">
        <f t="shared" si="37"/>
        <v>0.98365855629999999</v>
      </c>
      <c r="K556" s="146">
        <f t="shared" si="38"/>
        <v>92.092407637461733</v>
      </c>
    </row>
    <row r="557" spans="1:11">
      <c r="A557" s="138">
        <f t="shared" si="35"/>
        <v>2.2468349999999999</v>
      </c>
      <c r="B557" s="138">
        <v>2246.835</v>
      </c>
      <c r="C557" s="138">
        <v>95.665000000000006</v>
      </c>
      <c r="D557" s="138">
        <v>4.335</v>
      </c>
      <c r="E557" s="138">
        <v>95.688999999999993</v>
      </c>
      <c r="F557" s="138">
        <v>4.3109999999999999</v>
      </c>
      <c r="G557" s="138">
        <f t="shared" si="36"/>
        <v>95.665000000000006</v>
      </c>
      <c r="H557" s="138">
        <v>1</v>
      </c>
      <c r="I557" s="138">
        <v>1</v>
      </c>
      <c r="J557" s="145">
        <f t="shared" si="37"/>
        <v>0.98399172549999991</v>
      </c>
      <c r="K557" s="146">
        <f t="shared" si="38"/>
        <v>92.090869985244424</v>
      </c>
    </row>
    <row r="558" spans="1:11">
      <c r="A558" s="138">
        <f t="shared" si="35"/>
        <v>2.25</v>
      </c>
      <c r="B558" s="138">
        <v>2250</v>
      </c>
      <c r="C558" s="138">
        <v>95.631</v>
      </c>
      <c r="D558" s="138">
        <v>4.3689999999999998</v>
      </c>
      <c r="E558" s="138">
        <v>95.66</v>
      </c>
      <c r="F558" s="138">
        <v>4.34</v>
      </c>
      <c r="G558" s="138">
        <f t="shared" si="36"/>
        <v>95.631</v>
      </c>
      <c r="H558" s="138">
        <v>1</v>
      </c>
      <c r="I558" s="138">
        <v>1</v>
      </c>
      <c r="J558" s="145">
        <f t="shared" si="37"/>
        <v>0.98432499999999989</v>
      </c>
      <c r="K558" s="146">
        <f t="shared" si="38"/>
        <v>92.089320020572487</v>
      </c>
    </row>
    <row r="559" spans="1:11">
      <c r="A559" s="138">
        <f t="shared" si="35"/>
        <v>2.2531650000000001</v>
      </c>
      <c r="B559" s="138">
        <v>2253.165</v>
      </c>
      <c r="C559" s="138">
        <v>95.596999999999994</v>
      </c>
      <c r="D559" s="138">
        <v>4.4029999999999996</v>
      </c>
      <c r="E559" s="138">
        <v>95.631</v>
      </c>
      <c r="F559" s="138">
        <v>4.3689999999999998</v>
      </c>
      <c r="G559" s="138">
        <f t="shared" si="36"/>
        <v>95.596999999999994</v>
      </c>
      <c r="H559" s="138">
        <v>1</v>
      </c>
      <c r="I559" s="138">
        <v>1</v>
      </c>
      <c r="J559" s="145">
        <f t="shared" si="37"/>
        <v>0.98465827449999999</v>
      </c>
      <c r="K559" s="146">
        <f t="shared" si="38"/>
        <v>92.087747885014409</v>
      </c>
    </row>
    <row r="560" spans="1:11">
      <c r="A560" s="138">
        <f t="shared" si="35"/>
        <v>2.256329</v>
      </c>
      <c r="B560" s="138">
        <v>2256.3290000000002</v>
      </c>
      <c r="C560" s="138">
        <v>95.563999999999993</v>
      </c>
      <c r="D560" s="138">
        <v>4.4359999999999999</v>
      </c>
      <c r="E560" s="138">
        <v>95.602000000000004</v>
      </c>
      <c r="F560" s="138">
        <v>4.3979999999999997</v>
      </c>
      <c r="G560" s="138">
        <f t="shared" si="36"/>
        <v>95.563999999999993</v>
      </c>
      <c r="H560" s="138">
        <v>1</v>
      </c>
      <c r="I560" s="138">
        <v>1</v>
      </c>
      <c r="J560" s="145">
        <f t="shared" si="37"/>
        <v>0.98499144370000002</v>
      </c>
      <c r="K560" s="146">
        <f t="shared" si="38"/>
        <v>92.087107351278078</v>
      </c>
    </row>
    <row r="561" spans="1:11">
      <c r="A561" s="138">
        <f t="shared" si="35"/>
        <v>2.2594940000000001</v>
      </c>
      <c r="B561" s="138">
        <v>2259.4940000000001</v>
      </c>
      <c r="C561" s="138">
        <v>95.53</v>
      </c>
      <c r="D561" s="138">
        <v>4.47</v>
      </c>
      <c r="E561" s="138">
        <v>95.572999999999993</v>
      </c>
      <c r="F561" s="138">
        <v>4.4269999999999996</v>
      </c>
      <c r="G561" s="138">
        <f t="shared" si="36"/>
        <v>95.53</v>
      </c>
      <c r="H561" s="138">
        <v>1</v>
      </c>
      <c r="I561" s="138">
        <v>1</v>
      </c>
      <c r="J561" s="145">
        <f t="shared" si="37"/>
        <v>0.9853247182</v>
      </c>
      <c r="K561" s="146">
        <f t="shared" si="38"/>
        <v>92.085491203492694</v>
      </c>
    </row>
    <row r="562" spans="1:11">
      <c r="A562" s="138">
        <f t="shared" si="35"/>
        <v>2.2626580000000001</v>
      </c>
      <c r="B562" s="138">
        <v>2262.6579999999999</v>
      </c>
      <c r="C562" s="138">
        <v>95.495999999999995</v>
      </c>
      <c r="D562" s="138">
        <v>4.5039999999999996</v>
      </c>
      <c r="E562" s="138">
        <v>95.543999999999997</v>
      </c>
      <c r="F562" s="138">
        <v>4.4560000000000004</v>
      </c>
      <c r="G562" s="138">
        <f t="shared" si="36"/>
        <v>95.495999999999995</v>
      </c>
      <c r="H562" s="138">
        <v>1</v>
      </c>
      <c r="I562" s="138">
        <v>1</v>
      </c>
      <c r="J562" s="145">
        <f t="shared" si="37"/>
        <v>0.98565788739999993</v>
      </c>
      <c r="K562" s="146">
        <f t="shared" si="38"/>
        <v>92.083843047301613</v>
      </c>
    </row>
    <row r="563" spans="1:11">
      <c r="A563" s="138">
        <f t="shared" si="35"/>
        <v>2.2658229999999997</v>
      </c>
      <c r="B563" s="138">
        <v>2265.8229999999999</v>
      </c>
      <c r="C563" s="138">
        <v>95.462999999999994</v>
      </c>
      <c r="D563" s="138">
        <v>4.5369999999999999</v>
      </c>
      <c r="E563" s="138">
        <v>95.515000000000001</v>
      </c>
      <c r="F563" s="138">
        <v>4.4850000000000003</v>
      </c>
      <c r="G563" s="138">
        <f t="shared" si="36"/>
        <v>95.462999999999994</v>
      </c>
      <c r="H563" s="138">
        <v>1</v>
      </c>
      <c r="I563" s="138">
        <v>1</v>
      </c>
      <c r="J563" s="145">
        <f t="shared" si="37"/>
        <v>0.98599116189999991</v>
      </c>
      <c r="K563" s="146">
        <f t="shared" si="38"/>
        <v>92.083147156400116</v>
      </c>
    </row>
    <row r="564" spans="1:11">
      <c r="A564" s="138">
        <f t="shared" si="35"/>
        <v>2.2689870000000001</v>
      </c>
      <c r="B564" s="138">
        <v>2268.9870000000001</v>
      </c>
      <c r="C564" s="138">
        <v>95.429000000000002</v>
      </c>
      <c r="D564" s="138">
        <v>4.5709999999999997</v>
      </c>
      <c r="E564" s="138">
        <v>95.486000000000004</v>
      </c>
      <c r="F564" s="138">
        <v>4.5140000000000002</v>
      </c>
      <c r="G564" s="138">
        <f t="shared" si="36"/>
        <v>95.429000000000002</v>
      </c>
      <c r="H564" s="138">
        <v>1</v>
      </c>
      <c r="I564" s="138">
        <v>1</v>
      </c>
      <c r="J564" s="145">
        <f t="shared" si="37"/>
        <v>0.98632433109999995</v>
      </c>
      <c r="K564" s="146">
        <f t="shared" si="38"/>
        <v>92.081454994883728</v>
      </c>
    </row>
    <row r="565" spans="1:11">
      <c r="A565" s="138">
        <f t="shared" si="35"/>
        <v>2.2721520000000002</v>
      </c>
      <c r="B565" s="138">
        <v>2272.152</v>
      </c>
      <c r="C565" s="138">
        <v>95.394999999999996</v>
      </c>
      <c r="D565" s="138">
        <v>4.6050000000000004</v>
      </c>
      <c r="E565" s="138">
        <v>95.456999999999994</v>
      </c>
      <c r="F565" s="138">
        <v>4.5430000000000001</v>
      </c>
      <c r="G565" s="138">
        <f t="shared" si="36"/>
        <v>95.394999999999996</v>
      </c>
      <c r="H565" s="138">
        <v>1</v>
      </c>
      <c r="I565" s="138">
        <v>1</v>
      </c>
      <c r="J565" s="145">
        <f t="shared" si="37"/>
        <v>0.98665760560000004</v>
      </c>
      <c r="K565" s="146">
        <f t="shared" si="38"/>
        <v>92.079750496601193</v>
      </c>
    </row>
    <row r="566" spans="1:11">
      <c r="A566" s="138">
        <f t="shared" si="35"/>
        <v>2.2753159999999997</v>
      </c>
      <c r="B566" s="138">
        <v>2275.3159999999998</v>
      </c>
      <c r="C566" s="138">
        <v>95.361000000000004</v>
      </c>
      <c r="D566" s="138">
        <v>4.6390000000000002</v>
      </c>
      <c r="E566" s="138">
        <v>95.427999999999997</v>
      </c>
      <c r="F566" s="138">
        <v>4.5720000000000001</v>
      </c>
      <c r="G566" s="138">
        <f t="shared" si="36"/>
        <v>95.361000000000004</v>
      </c>
      <c r="H566" s="138">
        <v>1</v>
      </c>
      <c r="I566" s="138">
        <v>1</v>
      </c>
      <c r="J566" s="145">
        <f t="shared" si="37"/>
        <v>0.98699077479999997</v>
      </c>
      <c r="K566" s="146">
        <f t="shared" si="38"/>
        <v>92.078014003820044</v>
      </c>
    </row>
    <row r="567" spans="1:11">
      <c r="A567" s="138">
        <f t="shared" si="35"/>
        <v>2.2784810000000002</v>
      </c>
      <c r="B567" s="138">
        <v>2278.4810000000002</v>
      </c>
      <c r="C567" s="138">
        <v>95.328000000000003</v>
      </c>
      <c r="D567" s="138">
        <v>4.6719999999999997</v>
      </c>
      <c r="E567" s="138">
        <v>95.399000000000001</v>
      </c>
      <c r="F567" s="138">
        <v>4.601</v>
      </c>
      <c r="G567" s="138">
        <f t="shared" si="36"/>
        <v>95.328000000000003</v>
      </c>
      <c r="H567" s="138">
        <v>1</v>
      </c>
      <c r="I567" s="138">
        <v>1</v>
      </c>
      <c r="J567" s="145">
        <f t="shared" si="37"/>
        <v>0.98732404929999995</v>
      </c>
      <c r="K567" s="146">
        <f t="shared" si="38"/>
        <v>92.077231066385153</v>
      </c>
    </row>
    <row r="568" spans="1:11">
      <c r="A568" s="138">
        <f t="shared" si="35"/>
        <v>2.2816460000000003</v>
      </c>
      <c r="B568" s="138">
        <v>2281.6460000000002</v>
      </c>
      <c r="C568" s="138">
        <v>95.293999999999997</v>
      </c>
      <c r="D568" s="138">
        <v>4.7060000000000004</v>
      </c>
      <c r="E568" s="138">
        <v>95.37</v>
      </c>
      <c r="F568" s="138">
        <v>4.63</v>
      </c>
      <c r="G568" s="138">
        <f t="shared" si="36"/>
        <v>95.293999999999997</v>
      </c>
      <c r="H568" s="138">
        <v>1</v>
      </c>
      <c r="I568" s="138">
        <v>1</v>
      </c>
      <c r="J568" s="145">
        <f t="shared" si="37"/>
        <v>0.98765732379999993</v>
      </c>
      <c r="K568" s="146">
        <f t="shared" si="38"/>
        <v>92.075460384989114</v>
      </c>
    </row>
    <row r="569" spans="1:11">
      <c r="A569" s="138">
        <f t="shared" si="35"/>
        <v>2.2848099999999998</v>
      </c>
      <c r="B569" s="138">
        <v>2284.81</v>
      </c>
      <c r="C569" s="138">
        <v>95.26</v>
      </c>
      <c r="D569" s="138">
        <v>4.74</v>
      </c>
      <c r="E569" s="138">
        <v>95.340999999999994</v>
      </c>
      <c r="F569" s="138">
        <v>4.6589999999999998</v>
      </c>
      <c r="G569" s="138">
        <f t="shared" si="36"/>
        <v>95.26</v>
      </c>
      <c r="H569" s="138">
        <v>1</v>
      </c>
      <c r="I569" s="138">
        <v>1</v>
      </c>
      <c r="J569" s="145">
        <f t="shared" si="37"/>
        <v>0.98799049299999997</v>
      </c>
      <c r="K569" s="146">
        <f t="shared" si="38"/>
        <v>92.073657719498982</v>
      </c>
    </row>
    <row r="570" spans="1:11">
      <c r="A570" s="138">
        <f t="shared" si="35"/>
        <v>2.2879749999999999</v>
      </c>
      <c r="B570" s="138">
        <v>2287.9749999999999</v>
      </c>
      <c r="C570" s="138">
        <v>95.225999999999999</v>
      </c>
      <c r="D570" s="138">
        <v>4.774</v>
      </c>
      <c r="E570" s="138">
        <v>95.311999999999998</v>
      </c>
      <c r="F570" s="138">
        <v>4.6879999999999997</v>
      </c>
      <c r="G570" s="138">
        <f t="shared" si="36"/>
        <v>95.225999999999999</v>
      </c>
      <c r="H570" s="138">
        <v>1</v>
      </c>
      <c r="I570" s="138">
        <v>1</v>
      </c>
      <c r="J570" s="145">
        <f t="shared" si="37"/>
        <v>0.98832376749999995</v>
      </c>
      <c r="K570" s="146">
        <f t="shared" si="38"/>
        <v>92.071842699833155</v>
      </c>
    </row>
    <row r="571" spans="1:11">
      <c r="A571" s="138">
        <f t="shared" si="35"/>
        <v>2.2911390000000003</v>
      </c>
      <c r="B571" s="138">
        <v>2291.1390000000001</v>
      </c>
      <c r="C571" s="138">
        <v>95.192999999999998</v>
      </c>
      <c r="D571" s="138">
        <v>4.8070000000000004</v>
      </c>
      <c r="E571" s="138">
        <v>95.283000000000001</v>
      </c>
      <c r="F571" s="138">
        <v>4.7169999999999996</v>
      </c>
      <c r="G571" s="138">
        <f t="shared" si="36"/>
        <v>95.192999999999998</v>
      </c>
      <c r="H571" s="138">
        <v>1</v>
      </c>
      <c r="I571" s="138">
        <v>1</v>
      </c>
      <c r="J571" s="145">
        <f t="shared" si="37"/>
        <v>0.98865693669999999</v>
      </c>
      <c r="K571" s="146">
        <f t="shared" si="38"/>
        <v>92.070962906159451</v>
      </c>
    </row>
    <row r="572" spans="1:11">
      <c r="A572" s="138">
        <f t="shared" si="35"/>
        <v>2.2943039999999999</v>
      </c>
      <c r="B572" s="138">
        <v>2294.3040000000001</v>
      </c>
      <c r="C572" s="138">
        <v>95.159000000000006</v>
      </c>
      <c r="D572" s="138">
        <v>4.8410000000000002</v>
      </c>
      <c r="E572" s="138">
        <v>95.254000000000005</v>
      </c>
      <c r="F572" s="138">
        <v>4.7460000000000004</v>
      </c>
      <c r="G572" s="138">
        <f t="shared" si="36"/>
        <v>95.159000000000006</v>
      </c>
      <c r="H572" s="138">
        <v>1</v>
      </c>
      <c r="I572" s="138">
        <v>1</v>
      </c>
      <c r="J572" s="145">
        <f t="shared" si="37"/>
        <v>0.98899021119999997</v>
      </c>
      <c r="K572" s="146">
        <f t="shared" si="38"/>
        <v>92.06910387426629</v>
      </c>
    </row>
    <row r="573" spans="1:11">
      <c r="A573" s="138">
        <f t="shared" si="35"/>
        <v>2.2974679999999998</v>
      </c>
      <c r="B573" s="138">
        <v>2297.4679999999998</v>
      </c>
      <c r="C573" s="138">
        <v>95.125</v>
      </c>
      <c r="D573" s="138">
        <v>4.875</v>
      </c>
      <c r="E573" s="138">
        <v>95.224999999999994</v>
      </c>
      <c r="F573" s="138">
        <v>4.7750000000000004</v>
      </c>
      <c r="G573" s="138">
        <f t="shared" si="36"/>
        <v>95.125</v>
      </c>
      <c r="H573" s="138">
        <v>1</v>
      </c>
      <c r="I573" s="138">
        <v>1</v>
      </c>
      <c r="J573" s="145">
        <f t="shared" si="37"/>
        <v>0.9893233803999999</v>
      </c>
      <c r="K573" s="146">
        <f t="shared" si="38"/>
        <v>92.067212872186062</v>
      </c>
    </row>
    <row r="574" spans="1:11">
      <c r="A574" s="138">
        <f t="shared" si="35"/>
        <v>2.3006329999999999</v>
      </c>
      <c r="B574" s="138">
        <v>2300.6329999999998</v>
      </c>
      <c r="C574" s="138">
        <v>95.091999999999999</v>
      </c>
      <c r="D574" s="138">
        <v>4.9080000000000004</v>
      </c>
      <c r="E574" s="138">
        <v>95.195999999999998</v>
      </c>
      <c r="F574" s="138">
        <v>4.8040000000000003</v>
      </c>
      <c r="G574" s="138">
        <f t="shared" si="36"/>
        <v>95.091999999999999</v>
      </c>
      <c r="H574" s="138">
        <v>1</v>
      </c>
      <c r="I574" s="138">
        <v>1</v>
      </c>
      <c r="J574" s="145">
        <f t="shared" si="37"/>
        <v>0.98965665489999999</v>
      </c>
      <c r="K574" s="146">
        <f t="shared" si="38"/>
        <v>92.06627768312859</v>
      </c>
    </row>
    <row r="575" spans="1:11">
      <c r="A575" s="138">
        <f t="shared" si="35"/>
        <v>2.3037969999999999</v>
      </c>
      <c r="B575" s="138">
        <v>2303.797</v>
      </c>
      <c r="C575" s="138">
        <v>95.058000000000007</v>
      </c>
      <c r="D575" s="138">
        <v>4.9420000000000002</v>
      </c>
      <c r="E575" s="138">
        <v>95.167000000000002</v>
      </c>
      <c r="F575" s="138">
        <v>4.8330000000000002</v>
      </c>
      <c r="G575" s="138">
        <f t="shared" si="36"/>
        <v>95.058000000000007</v>
      </c>
      <c r="H575" s="138">
        <v>1</v>
      </c>
      <c r="I575" s="138">
        <v>1</v>
      </c>
      <c r="J575" s="145">
        <f t="shared" si="37"/>
        <v>0.98998982409999992</v>
      </c>
      <c r="K575" s="146">
        <f t="shared" si="38"/>
        <v>92.06434267572304</v>
      </c>
    </row>
    <row r="576" spans="1:11">
      <c r="A576" s="138">
        <f t="shared" si="35"/>
        <v>2.306962</v>
      </c>
      <c r="B576" s="138">
        <v>2306.962</v>
      </c>
      <c r="C576" s="138">
        <v>95.024000000000001</v>
      </c>
      <c r="D576" s="138">
        <v>4.976</v>
      </c>
      <c r="E576" s="138">
        <v>95.138000000000005</v>
      </c>
      <c r="F576" s="138">
        <v>4.8620000000000001</v>
      </c>
      <c r="G576" s="138">
        <f t="shared" si="36"/>
        <v>95.024000000000001</v>
      </c>
      <c r="H576" s="138">
        <v>1</v>
      </c>
      <c r="I576" s="138">
        <v>1</v>
      </c>
      <c r="J576" s="145">
        <f t="shared" si="37"/>
        <v>0.99032309860000001</v>
      </c>
      <c r="K576" s="146">
        <f t="shared" si="38"/>
        <v>92.062395293332742</v>
      </c>
    </row>
    <row r="577" spans="1:11">
      <c r="A577" s="138">
        <f t="shared" si="35"/>
        <v>2.310127</v>
      </c>
      <c r="B577" s="138">
        <v>2310.127</v>
      </c>
      <c r="C577" s="138">
        <v>94.99</v>
      </c>
      <c r="D577" s="138">
        <v>5.01</v>
      </c>
      <c r="E577" s="138">
        <v>95.108999999999995</v>
      </c>
      <c r="F577" s="138">
        <v>4.891</v>
      </c>
      <c r="G577" s="138">
        <f t="shared" si="36"/>
        <v>94.99</v>
      </c>
      <c r="H577" s="138">
        <v>1</v>
      </c>
      <c r="I577" s="138">
        <v>1</v>
      </c>
      <c r="J577" s="145">
        <f t="shared" si="37"/>
        <v>0.99065637309999999</v>
      </c>
      <c r="K577" s="146">
        <f t="shared" si="38"/>
        <v>92.060425740056303</v>
      </c>
    </row>
    <row r="578" spans="1:11">
      <c r="A578" s="138">
        <f t="shared" si="35"/>
        <v>2.313291</v>
      </c>
      <c r="B578" s="138">
        <v>2313.2910000000002</v>
      </c>
      <c r="C578" s="138">
        <v>94.956999999999994</v>
      </c>
      <c r="D578" s="138">
        <v>5.0430000000000001</v>
      </c>
      <c r="E578" s="138">
        <v>95.08</v>
      </c>
      <c r="F578" s="138">
        <v>4.92</v>
      </c>
      <c r="G578" s="138">
        <f t="shared" si="36"/>
        <v>94.956999999999994</v>
      </c>
      <c r="H578" s="138">
        <v>1</v>
      </c>
      <c r="I578" s="138">
        <v>1</v>
      </c>
      <c r="J578" s="145">
        <f t="shared" si="37"/>
        <v>0.99098954229999991</v>
      </c>
      <c r="K578" s="146">
        <f t="shared" si="38"/>
        <v>92.059393719071565</v>
      </c>
    </row>
    <row r="579" spans="1:11">
      <c r="A579" s="138">
        <f t="shared" si="35"/>
        <v>2.3164560000000001</v>
      </c>
      <c r="B579" s="138">
        <v>2316.4560000000001</v>
      </c>
      <c r="C579" s="138">
        <v>94.923000000000002</v>
      </c>
      <c r="D579" s="138">
        <v>5.077</v>
      </c>
      <c r="E579" s="138">
        <v>95.051000000000002</v>
      </c>
      <c r="F579" s="138">
        <v>4.9489999999999998</v>
      </c>
      <c r="G579" s="138">
        <f t="shared" si="36"/>
        <v>94.923000000000002</v>
      </c>
      <c r="H579" s="138">
        <v>1</v>
      </c>
      <c r="I579" s="138">
        <v>1</v>
      </c>
      <c r="J579" s="145">
        <f t="shared" si="37"/>
        <v>0.99132281680000001</v>
      </c>
      <c r="K579" s="146">
        <f t="shared" si="38"/>
        <v>92.057380153567792</v>
      </c>
    </row>
    <row r="580" spans="1:11">
      <c r="A580" s="138">
        <f t="shared" si="35"/>
        <v>2.31962</v>
      </c>
      <c r="B580" s="138">
        <v>2319.62</v>
      </c>
      <c r="C580" s="138">
        <v>94.888999999999996</v>
      </c>
      <c r="D580" s="138">
        <v>5.1109999999999998</v>
      </c>
      <c r="E580" s="138">
        <v>95.022000000000006</v>
      </c>
      <c r="F580" s="138">
        <v>4.9779999999999998</v>
      </c>
      <c r="G580" s="138">
        <f t="shared" si="36"/>
        <v>94.888999999999996</v>
      </c>
      <c r="H580" s="138">
        <v>1</v>
      </c>
      <c r="I580" s="138">
        <v>1</v>
      </c>
      <c r="J580" s="145">
        <f t="shared" si="37"/>
        <v>0.99165598599999993</v>
      </c>
      <c r="K580" s="146">
        <f t="shared" si="38"/>
        <v>92.05533464218847</v>
      </c>
    </row>
    <row r="581" spans="1:11">
      <c r="A581" s="138">
        <f t="shared" si="35"/>
        <v>2.3227849999999997</v>
      </c>
      <c r="B581" s="138">
        <v>2322.7849999999999</v>
      </c>
      <c r="C581" s="138">
        <v>94.855999999999995</v>
      </c>
      <c r="D581" s="138">
        <v>5.1440000000000001</v>
      </c>
      <c r="E581" s="138">
        <v>94.992999999999995</v>
      </c>
      <c r="F581" s="138">
        <v>5.0069999999999997</v>
      </c>
      <c r="G581" s="138">
        <f t="shared" si="36"/>
        <v>94.855999999999995</v>
      </c>
      <c r="H581" s="138">
        <v>1</v>
      </c>
      <c r="I581" s="138">
        <v>1</v>
      </c>
      <c r="J581" s="145">
        <f t="shared" si="37"/>
        <v>0.99198926049999991</v>
      </c>
      <c r="K581" s="146">
        <f t="shared" si="38"/>
        <v>92.054247201508446</v>
      </c>
    </row>
    <row r="582" spans="1:11">
      <c r="A582" s="138">
        <f t="shared" ref="A582:A645" si="39">B582/1000</f>
        <v>2.325949</v>
      </c>
      <c r="B582" s="138">
        <v>2325.9490000000001</v>
      </c>
      <c r="C582" s="138">
        <v>94.822000000000003</v>
      </c>
      <c r="D582" s="138">
        <v>5.1779999999999999</v>
      </c>
      <c r="E582" s="138">
        <v>94.963999999999999</v>
      </c>
      <c r="F582" s="138">
        <v>5.0359999999999996</v>
      </c>
      <c r="G582" s="138">
        <f t="shared" ref="G582:G645" si="40">MIN(C582,E582)</f>
        <v>94.822000000000003</v>
      </c>
      <c r="H582" s="138">
        <v>1</v>
      </c>
      <c r="I582" s="138">
        <v>1</v>
      </c>
      <c r="J582" s="145">
        <f t="shared" ref="J582:J645" si="41">MIN(B582/1000*$M$1+$O$1,1)</f>
        <v>0.99232242969999995</v>
      </c>
      <c r="K582" s="146">
        <f t="shared" si="38"/>
        <v>92.052157684803802</v>
      </c>
    </row>
    <row r="583" spans="1:11">
      <c r="A583" s="138">
        <f t="shared" si="39"/>
        <v>2.3291140000000001</v>
      </c>
      <c r="B583" s="138">
        <v>2329.114</v>
      </c>
      <c r="C583" s="138">
        <v>94.789000000000001</v>
      </c>
      <c r="D583" s="138">
        <v>5.2110000000000003</v>
      </c>
      <c r="E583" s="138">
        <v>94.936000000000007</v>
      </c>
      <c r="F583" s="138">
        <v>5.0640000000000001</v>
      </c>
      <c r="G583" s="138">
        <f t="shared" si="40"/>
        <v>94.789000000000001</v>
      </c>
      <c r="H583" s="138">
        <v>1</v>
      </c>
      <c r="I583" s="138">
        <v>1</v>
      </c>
      <c r="J583" s="145">
        <f t="shared" si="41"/>
        <v>0.99265570419999993</v>
      </c>
      <c r="K583" s="146">
        <f t="shared" ref="K583:K646" si="42">G583*H583*I583*J583*$G$2/100</f>
        <v>92.051026883878308</v>
      </c>
    </row>
    <row r="584" spans="1:11">
      <c r="A584" s="138">
        <f t="shared" si="39"/>
        <v>2.3322779999999996</v>
      </c>
      <c r="B584" s="138">
        <v>2332.2779999999998</v>
      </c>
      <c r="C584" s="138">
        <v>94.754999999999995</v>
      </c>
      <c r="D584" s="138">
        <v>5.2450000000000001</v>
      </c>
      <c r="E584" s="138">
        <v>94.906999999999996</v>
      </c>
      <c r="F584" s="138">
        <v>5.093</v>
      </c>
      <c r="G584" s="138">
        <f t="shared" si="40"/>
        <v>94.754999999999995</v>
      </c>
      <c r="H584" s="138">
        <v>1</v>
      </c>
      <c r="I584" s="138">
        <v>1</v>
      </c>
      <c r="J584" s="145">
        <f t="shared" si="41"/>
        <v>0.99298887339999986</v>
      </c>
      <c r="K584" s="146">
        <f t="shared" si="42"/>
        <v>92.048893361848314</v>
      </c>
    </row>
    <row r="585" spans="1:11">
      <c r="A585" s="138">
        <f t="shared" si="39"/>
        <v>2.3354430000000002</v>
      </c>
      <c r="B585" s="138">
        <v>2335.4430000000002</v>
      </c>
      <c r="C585" s="138">
        <v>94.721000000000004</v>
      </c>
      <c r="D585" s="138">
        <v>5.2789999999999999</v>
      </c>
      <c r="E585" s="138">
        <v>94.878</v>
      </c>
      <c r="F585" s="138">
        <v>5.1219999999999999</v>
      </c>
      <c r="G585" s="138">
        <f t="shared" si="40"/>
        <v>94.721000000000004</v>
      </c>
      <c r="H585" s="138">
        <v>1</v>
      </c>
      <c r="I585" s="138">
        <v>1</v>
      </c>
      <c r="J585" s="145">
        <f t="shared" si="41"/>
        <v>0.99332214789999995</v>
      </c>
      <c r="K585" s="146">
        <f t="shared" si="42"/>
        <v>92.04674743362007</v>
      </c>
    </row>
    <row r="586" spans="1:11">
      <c r="A586" s="138">
        <f t="shared" si="39"/>
        <v>2.3386080000000002</v>
      </c>
      <c r="B586" s="138">
        <v>2338.6080000000002</v>
      </c>
      <c r="C586" s="138">
        <v>94.688000000000002</v>
      </c>
      <c r="D586" s="138">
        <v>5.3120000000000003</v>
      </c>
      <c r="E586" s="138">
        <v>94.849000000000004</v>
      </c>
      <c r="F586" s="138">
        <v>5.1509999999999998</v>
      </c>
      <c r="G586" s="138">
        <f t="shared" si="40"/>
        <v>94.688000000000002</v>
      </c>
      <c r="H586" s="138">
        <v>1</v>
      </c>
      <c r="I586" s="138">
        <v>1</v>
      </c>
      <c r="J586" s="145">
        <f t="shared" si="41"/>
        <v>0.99365542240000004</v>
      </c>
      <c r="K586" s="146">
        <f t="shared" si="42"/>
        <v>92.045551427605417</v>
      </c>
    </row>
    <row r="587" spans="1:11">
      <c r="A587" s="138">
        <f t="shared" si="39"/>
        <v>2.3417719999999997</v>
      </c>
      <c r="B587" s="138">
        <v>2341.7719999999999</v>
      </c>
      <c r="C587" s="138">
        <v>94.653999999999996</v>
      </c>
      <c r="D587" s="138">
        <v>5.3460000000000001</v>
      </c>
      <c r="E587" s="138">
        <v>94.82</v>
      </c>
      <c r="F587" s="138">
        <v>5.18</v>
      </c>
      <c r="G587" s="138">
        <f t="shared" si="40"/>
        <v>94.653999999999996</v>
      </c>
      <c r="H587" s="138">
        <v>1</v>
      </c>
      <c r="I587" s="138">
        <v>1</v>
      </c>
      <c r="J587" s="145">
        <f t="shared" si="41"/>
        <v>0.99398859159999997</v>
      </c>
      <c r="K587" s="146">
        <f t="shared" si="42"/>
        <v>92.043351732866455</v>
      </c>
    </row>
    <row r="588" spans="1:11">
      <c r="A588" s="138">
        <f t="shared" si="39"/>
        <v>2.3449369999999998</v>
      </c>
      <c r="B588" s="138">
        <v>2344.9369999999999</v>
      </c>
      <c r="C588" s="138">
        <v>94.620999999999995</v>
      </c>
      <c r="D588" s="138">
        <v>5.3789999999999996</v>
      </c>
      <c r="E588" s="138">
        <v>94.790999999999997</v>
      </c>
      <c r="F588" s="138">
        <v>5.2089999999999996</v>
      </c>
      <c r="G588" s="138">
        <f t="shared" si="40"/>
        <v>94.620999999999995</v>
      </c>
      <c r="H588" s="138">
        <v>1</v>
      </c>
      <c r="I588" s="138">
        <v>1</v>
      </c>
      <c r="J588" s="145">
        <f t="shared" si="41"/>
        <v>0.99432186609999995</v>
      </c>
      <c r="K588" s="146">
        <f t="shared" si="42"/>
        <v>92.042112366606304</v>
      </c>
    </row>
    <row r="589" spans="1:11">
      <c r="A589" s="138">
        <f t="shared" si="39"/>
        <v>2.3481010000000002</v>
      </c>
      <c r="B589" s="138">
        <v>2348.1010000000001</v>
      </c>
      <c r="C589" s="138">
        <v>94.587000000000003</v>
      </c>
      <c r="D589" s="138">
        <v>5.4130000000000003</v>
      </c>
      <c r="E589" s="138">
        <v>94.762</v>
      </c>
      <c r="F589" s="138">
        <v>5.2380000000000004</v>
      </c>
      <c r="G589" s="138">
        <f t="shared" si="40"/>
        <v>94.587000000000003</v>
      </c>
      <c r="H589" s="138">
        <v>1</v>
      </c>
      <c r="I589" s="138">
        <v>1</v>
      </c>
      <c r="J589" s="145">
        <f t="shared" si="41"/>
        <v>0.99465503529999999</v>
      </c>
      <c r="K589" s="146">
        <f t="shared" si="42"/>
        <v>92.039868666542006</v>
      </c>
    </row>
    <row r="590" spans="1:11">
      <c r="A590" s="138">
        <f t="shared" si="39"/>
        <v>2.3512659999999999</v>
      </c>
      <c r="B590" s="138">
        <v>2351.2660000000001</v>
      </c>
      <c r="C590" s="138">
        <v>94.554000000000002</v>
      </c>
      <c r="D590" s="138">
        <v>5.4459999999999997</v>
      </c>
      <c r="E590" s="138">
        <v>94.733999999999995</v>
      </c>
      <c r="F590" s="138">
        <v>5.266</v>
      </c>
      <c r="G590" s="138">
        <f t="shared" si="40"/>
        <v>94.554000000000002</v>
      </c>
      <c r="H590" s="138">
        <v>1</v>
      </c>
      <c r="I590" s="138">
        <v>1</v>
      </c>
      <c r="J590" s="145">
        <f t="shared" si="41"/>
        <v>0.99498830979999997</v>
      </c>
      <c r="K590" s="146">
        <f t="shared" si="42"/>
        <v>92.038585940036413</v>
      </c>
    </row>
    <row r="591" spans="1:11">
      <c r="A591" s="138">
        <f t="shared" si="39"/>
        <v>2.3544299999999998</v>
      </c>
      <c r="B591" s="138">
        <v>2354.4299999999998</v>
      </c>
      <c r="C591" s="138">
        <v>94.52</v>
      </c>
      <c r="D591" s="138">
        <v>5.48</v>
      </c>
      <c r="E591" s="138">
        <v>94.704999999999998</v>
      </c>
      <c r="F591" s="138">
        <v>5.2949999999999999</v>
      </c>
      <c r="G591" s="138">
        <f t="shared" si="40"/>
        <v>94.52</v>
      </c>
      <c r="H591" s="138">
        <v>1</v>
      </c>
      <c r="I591" s="138">
        <v>1</v>
      </c>
      <c r="J591" s="145">
        <f t="shared" si="41"/>
        <v>0.99532147900000001</v>
      </c>
      <c r="K591" s="146">
        <f t="shared" si="42"/>
        <v>92.036298234646765</v>
      </c>
    </row>
    <row r="592" spans="1:11">
      <c r="A592" s="138">
        <f t="shared" si="39"/>
        <v>2.3575949999999999</v>
      </c>
      <c r="B592" s="138">
        <v>2357.5949999999998</v>
      </c>
      <c r="C592" s="138">
        <v>94.486999999999995</v>
      </c>
      <c r="D592" s="138">
        <v>5.5129999999999999</v>
      </c>
      <c r="E592" s="138">
        <v>94.676000000000002</v>
      </c>
      <c r="F592" s="138">
        <v>5.3239999999999998</v>
      </c>
      <c r="G592" s="138">
        <f t="shared" si="40"/>
        <v>94.486999999999995</v>
      </c>
      <c r="H592" s="138">
        <v>1</v>
      </c>
      <c r="I592" s="138">
        <v>1</v>
      </c>
      <c r="J592" s="145">
        <f t="shared" si="41"/>
        <v>0.99565475349999999</v>
      </c>
      <c r="K592" s="146">
        <f t="shared" si="42"/>
        <v>92.034972147895672</v>
      </c>
    </row>
    <row r="593" spans="1:11">
      <c r="A593" s="138">
        <f t="shared" si="39"/>
        <v>2.3607589999999998</v>
      </c>
      <c r="B593" s="138">
        <v>2360.759</v>
      </c>
      <c r="C593" s="138">
        <v>94.453000000000003</v>
      </c>
      <c r="D593" s="138">
        <v>5.5469999999999997</v>
      </c>
      <c r="E593" s="138">
        <v>94.647000000000006</v>
      </c>
      <c r="F593" s="138">
        <v>5.3529999999999998</v>
      </c>
      <c r="G593" s="138">
        <f t="shared" si="40"/>
        <v>94.453000000000003</v>
      </c>
      <c r="H593" s="138">
        <v>1</v>
      </c>
      <c r="I593" s="138">
        <v>1</v>
      </c>
      <c r="J593" s="145">
        <f t="shared" si="41"/>
        <v>0.99598792269999992</v>
      </c>
      <c r="K593" s="146">
        <f t="shared" si="42"/>
        <v>92.032640437180703</v>
      </c>
    </row>
    <row r="594" spans="1:11">
      <c r="A594" s="138">
        <f t="shared" si="39"/>
        <v>2.3639239999999999</v>
      </c>
      <c r="B594" s="138">
        <v>2363.924</v>
      </c>
      <c r="C594" s="138">
        <v>94.42</v>
      </c>
      <c r="D594" s="138">
        <v>5.58</v>
      </c>
      <c r="E594" s="138">
        <v>94.617999999999995</v>
      </c>
      <c r="F594" s="138">
        <v>5.3819999999999997</v>
      </c>
      <c r="G594" s="138">
        <f t="shared" si="40"/>
        <v>94.42</v>
      </c>
      <c r="H594" s="138">
        <v>1</v>
      </c>
      <c r="I594" s="138">
        <v>1</v>
      </c>
      <c r="J594" s="145">
        <f t="shared" si="41"/>
        <v>0.9963211971999999</v>
      </c>
      <c r="K594" s="146">
        <f t="shared" si="42"/>
        <v>92.031270990184154</v>
      </c>
    </row>
    <row r="595" spans="1:11">
      <c r="A595" s="138">
        <f t="shared" si="39"/>
        <v>2.367089</v>
      </c>
      <c r="B595" s="138">
        <v>2367.0889999999999</v>
      </c>
      <c r="C595" s="138">
        <v>94.387</v>
      </c>
      <c r="D595" s="138">
        <v>5.6130000000000004</v>
      </c>
      <c r="E595" s="138">
        <v>94.59</v>
      </c>
      <c r="F595" s="138">
        <v>5.41</v>
      </c>
      <c r="G595" s="138">
        <f t="shared" si="40"/>
        <v>94.387</v>
      </c>
      <c r="H595" s="138">
        <v>1</v>
      </c>
      <c r="I595" s="138">
        <v>1</v>
      </c>
      <c r="J595" s="145">
        <f t="shared" si="41"/>
        <v>0.99665447169999999</v>
      </c>
      <c r="K595" s="146">
        <f t="shared" si="42"/>
        <v>92.029880024386344</v>
      </c>
    </row>
    <row r="596" spans="1:11">
      <c r="A596" s="138">
        <f t="shared" si="39"/>
        <v>2.3702529999999999</v>
      </c>
      <c r="B596" s="138">
        <v>2370.2530000000002</v>
      </c>
      <c r="C596" s="138">
        <v>94.352999999999994</v>
      </c>
      <c r="D596" s="138">
        <v>5.6470000000000002</v>
      </c>
      <c r="E596" s="138">
        <v>94.561000000000007</v>
      </c>
      <c r="F596" s="138">
        <v>5.4390000000000001</v>
      </c>
      <c r="G596" s="138">
        <f t="shared" si="40"/>
        <v>94.352999999999994</v>
      </c>
      <c r="H596" s="138">
        <v>1</v>
      </c>
      <c r="I596" s="138">
        <v>1</v>
      </c>
      <c r="J596" s="145">
        <f t="shared" si="41"/>
        <v>0.99698764090000003</v>
      </c>
      <c r="K596" s="146">
        <f t="shared" si="42"/>
        <v>92.027482466901816</v>
      </c>
    </row>
    <row r="597" spans="1:11">
      <c r="A597" s="138">
        <f t="shared" si="39"/>
        <v>2.373418</v>
      </c>
      <c r="B597" s="138">
        <v>2373.4180000000001</v>
      </c>
      <c r="C597" s="138">
        <v>94.32</v>
      </c>
      <c r="D597" s="138">
        <v>5.68</v>
      </c>
      <c r="E597" s="138">
        <v>94.531999999999996</v>
      </c>
      <c r="F597" s="138">
        <v>5.468</v>
      </c>
      <c r="G597" s="138">
        <f t="shared" si="40"/>
        <v>94.32</v>
      </c>
      <c r="H597" s="138">
        <v>1</v>
      </c>
      <c r="I597" s="138">
        <v>1</v>
      </c>
      <c r="J597" s="145">
        <f t="shared" si="41"/>
        <v>0.99732091540000001</v>
      </c>
      <c r="K597" s="146">
        <f t="shared" si="42"/>
        <v>92.026048140858535</v>
      </c>
    </row>
    <row r="598" spans="1:11">
      <c r="A598" s="138">
        <f t="shared" si="39"/>
        <v>2.376582</v>
      </c>
      <c r="B598" s="138">
        <v>2376.5819999999999</v>
      </c>
      <c r="C598" s="138">
        <v>94.287000000000006</v>
      </c>
      <c r="D598" s="138">
        <v>5.7130000000000001</v>
      </c>
      <c r="E598" s="138">
        <v>94.504000000000005</v>
      </c>
      <c r="F598" s="138">
        <v>5.4960000000000004</v>
      </c>
      <c r="G598" s="138">
        <f t="shared" si="40"/>
        <v>94.287000000000006</v>
      </c>
      <c r="H598" s="138">
        <v>1</v>
      </c>
      <c r="I598" s="138">
        <v>1</v>
      </c>
      <c r="J598" s="145">
        <f t="shared" si="41"/>
        <v>0.99765408459999994</v>
      </c>
      <c r="K598" s="146">
        <f t="shared" si="42"/>
        <v>92.024582583039631</v>
      </c>
    </row>
    <row r="599" spans="1:11">
      <c r="A599" s="138">
        <f t="shared" si="39"/>
        <v>2.3797470000000001</v>
      </c>
      <c r="B599" s="138">
        <v>2379.7469999999998</v>
      </c>
      <c r="C599" s="138">
        <v>94.253</v>
      </c>
      <c r="D599" s="138">
        <v>5.7469999999999999</v>
      </c>
      <c r="E599" s="138">
        <v>94.474999999999994</v>
      </c>
      <c r="F599" s="138">
        <v>5.5250000000000004</v>
      </c>
      <c r="G599" s="138">
        <f t="shared" si="40"/>
        <v>94.253</v>
      </c>
      <c r="H599" s="138">
        <v>1</v>
      </c>
      <c r="I599" s="138">
        <v>1</v>
      </c>
      <c r="J599" s="145">
        <f t="shared" si="41"/>
        <v>0.99798735909999992</v>
      </c>
      <c r="K599" s="146">
        <f t="shared" si="42"/>
        <v>92.022128891759905</v>
      </c>
    </row>
    <row r="600" spans="1:11">
      <c r="A600" s="138">
        <f t="shared" si="39"/>
        <v>2.382911</v>
      </c>
      <c r="B600" s="138">
        <v>2382.9110000000001</v>
      </c>
      <c r="C600" s="138">
        <v>94.22</v>
      </c>
      <c r="D600" s="138">
        <v>5.78</v>
      </c>
      <c r="E600" s="138">
        <v>94.445999999999998</v>
      </c>
      <c r="F600" s="138">
        <v>5.5540000000000003</v>
      </c>
      <c r="G600" s="138">
        <f t="shared" si="40"/>
        <v>94.22</v>
      </c>
      <c r="H600" s="138">
        <v>1</v>
      </c>
      <c r="I600" s="138">
        <v>1</v>
      </c>
      <c r="J600" s="145">
        <f t="shared" si="41"/>
        <v>0.99832052829999995</v>
      </c>
      <c r="K600" s="146">
        <f t="shared" si="42"/>
        <v>92.020619980597544</v>
      </c>
    </row>
    <row r="601" spans="1:11">
      <c r="A601" s="138">
        <f t="shared" si="39"/>
        <v>2.3860760000000001</v>
      </c>
      <c r="B601" s="138">
        <v>2386.076</v>
      </c>
      <c r="C601" s="138">
        <v>94.186999999999998</v>
      </c>
      <c r="D601" s="138">
        <v>5.8129999999999997</v>
      </c>
      <c r="E601" s="138">
        <v>94.418000000000006</v>
      </c>
      <c r="F601" s="138">
        <v>5.5819999999999999</v>
      </c>
      <c r="G601" s="138">
        <f t="shared" si="40"/>
        <v>94.186999999999998</v>
      </c>
      <c r="H601" s="138">
        <v>1</v>
      </c>
      <c r="I601" s="138">
        <v>1</v>
      </c>
      <c r="J601" s="145">
        <f t="shared" si="41"/>
        <v>0.99865380280000005</v>
      </c>
      <c r="K601" s="146">
        <f t="shared" si="42"/>
        <v>92.019099260105776</v>
      </c>
    </row>
    <row r="602" spans="1:11">
      <c r="A602" s="138">
        <f t="shared" si="39"/>
        <v>2.3892410000000002</v>
      </c>
      <c r="B602" s="138">
        <v>2389.241</v>
      </c>
      <c r="C602" s="138">
        <v>94.153999999999996</v>
      </c>
      <c r="D602" s="138">
        <v>5.8460000000000001</v>
      </c>
      <c r="E602" s="138">
        <v>94.388999999999996</v>
      </c>
      <c r="F602" s="138">
        <v>5.6109999999999998</v>
      </c>
      <c r="G602" s="138">
        <f t="shared" si="40"/>
        <v>94.153999999999996</v>
      </c>
      <c r="H602" s="138">
        <v>1</v>
      </c>
      <c r="I602" s="138">
        <v>1</v>
      </c>
      <c r="J602" s="145">
        <f t="shared" si="41"/>
        <v>0.99898707730000003</v>
      </c>
      <c r="K602" s="146">
        <f t="shared" si="42"/>
        <v>92.017557020812731</v>
      </c>
    </row>
    <row r="603" spans="1:11">
      <c r="A603" s="138">
        <f t="shared" si="39"/>
        <v>2.3924050000000001</v>
      </c>
      <c r="B603" s="138">
        <v>2392.4050000000002</v>
      </c>
      <c r="C603" s="138">
        <v>94.12</v>
      </c>
      <c r="D603" s="138">
        <v>5.88</v>
      </c>
      <c r="E603" s="138">
        <v>94.361000000000004</v>
      </c>
      <c r="F603" s="138">
        <v>5.6390000000000002</v>
      </c>
      <c r="G603" s="138">
        <f t="shared" si="40"/>
        <v>94.12</v>
      </c>
      <c r="H603" s="138">
        <v>1</v>
      </c>
      <c r="I603" s="138">
        <v>1</v>
      </c>
      <c r="J603" s="145">
        <f t="shared" si="41"/>
        <v>0.99932024649999995</v>
      </c>
      <c r="K603" s="146">
        <f t="shared" si="42"/>
        <v>92.015005931847412</v>
      </c>
    </row>
    <row r="604" spans="1:11">
      <c r="A604" s="138">
        <f t="shared" si="39"/>
        <v>2.3955700000000002</v>
      </c>
      <c r="B604" s="138">
        <v>2395.5700000000002</v>
      </c>
      <c r="C604" s="138">
        <v>94.087000000000003</v>
      </c>
      <c r="D604" s="138">
        <v>5.9130000000000003</v>
      </c>
      <c r="E604" s="138">
        <v>94.331999999999994</v>
      </c>
      <c r="F604" s="138">
        <v>5.6680000000000001</v>
      </c>
      <c r="G604" s="138">
        <f t="shared" si="40"/>
        <v>94.087000000000003</v>
      </c>
      <c r="H604" s="138">
        <v>1</v>
      </c>
      <c r="I604" s="138">
        <v>1</v>
      </c>
      <c r="J604" s="145">
        <f t="shared" si="41"/>
        <v>0.99965352099999993</v>
      </c>
      <c r="K604" s="146">
        <f t="shared" si="42"/>
        <v>92.013420332308911</v>
      </c>
    </row>
    <row r="605" spans="1:11">
      <c r="A605" s="138">
        <f t="shared" si="39"/>
        <v>2.3987340000000001</v>
      </c>
      <c r="B605" s="138">
        <v>2398.7339999999999</v>
      </c>
      <c r="C605" s="138">
        <v>94.054000000000002</v>
      </c>
      <c r="D605" s="138">
        <v>5.9459999999999997</v>
      </c>
      <c r="E605" s="138">
        <v>94.304000000000002</v>
      </c>
      <c r="F605" s="138">
        <v>5.6959999999999997</v>
      </c>
      <c r="G605" s="138">
        <f t="shared" si="40"/>
        <v>94.054000000000002</v>
      </c>
      <c r="H605" s="138">
        <v>1</v>
      </c>
      <c r="I605" s="138">
        <v>1</v>
      </c>
      <c r="J605" s="145">
        <f t="shared" si="41"/>
        <v>0.99998669019999997</v>
      </c>
      <c r="K605" s="146">
        <f t="shared" si="42"/>
        <v>92.011803524997262</v>
      </c>
    </row>
    <row r="606" spans="1:11">
      <c r="A606" s="138">
        <f t="shared" si="39"/>
        <v>2.4018989999999998</v>
      </c>
      <c r="B606" s="138">
        <v>2401.8989999999999</v>
      </c>
      <c r="C606" s="138">
        <v>94.021000000000001</v>
      </c>
      <c r="D606" s="138">
        <v>5.9790000000000001</v>
      </c>
      <c r="E606" s="138">
        <v>94.275000000000006</v>
      </c>
      <c r="F606" s="138">
        <v>5.7249999999999996</v>
      </c>
      <c r="G606" s="138">
        <f t="shared" si="40"/>
        <v>94.021000000000001</v>
      </c>
      <c r="H606" s="148">
        <f>MAX(0,1+(2400-B606)/100)</f>
        <v>0.98101000000000116</v>
      </c>
      <c r="I606" s="138">
        <v>1</v>
      </c>
      <c r="J606" s="145">
        <f t="shared" si="41"/>
        <v>1</v>
      </c>
      <c r="K606" s="146">
        <f t="shared" si="42"/>
        <v>90.234029965743105</v>
      </c>
    </row>
    <row r="607" spans="1:11">
      <c r="A607" s="138">
        <f t="shared" si="39"/>
        <v>2.4050630000000002</v>
      </c>
      <c r="B607" s="138">
        <v>2405.0630000000001</v>
      </c>
      <c r="C607" s="138">
        <v>93.988</v>
      </c>
      <c r="D607" s="138">
        <v>6.0119999999999996</v>
      </c>
      <c r="E607" s="138">
        <v>94.247</v>
      </c>
      <c r="F607" s="138">
        <v>5.7530000000000001</v>
      </c>
      <c r="G607" s="138">
        <f t="shared" si="40"/>
        <v>93.988</v>
      </c>
      <c r="H607" s="148">
        <f t="shared" ref="H607:H670" si="43">MAX(0,1+(2400-B607)/100)</f>
        <v>0.94936999999999894</v>
      </c>
      <c r="I607" s="138">
        <v>1</v>
      </c>
      <c r="J607" s="145">
        <f t="shared" si="41"/>
        <v>1</v>
      </c>
      <c r="K607" s="146">
        <f t="shared" si="42"/>
        <v>87.293109849947882</v>
      </c>
    </row>
    <row r="608" spans="1:11">
      <c r="A608" s="138">
        <f t="shared" si="39"/>
        <v>2.4082280000000003</v>
      </c>
      <c r="B608" s="138">
        <v>2408.2280000000001</v>
      </c>
      <c r="C608" s="138">
        <v>93.954999999999998</v>
      </c>
      <c r="D608" s="138">
        <v>6.0449999999999999</v>
      </c>
      <c r="E608" s="138">
        <v>94.218000000000004</v>
      </c>
      <c r="F608" s="138">
        <v>5.782</v>
      </c>
      <c r="G608" s="138">
        <f t="shared" si="40"/>
        <v>93.954999999999998</v>
      </c>
      <c r="H608" s="148">
        <f t="shared" si="43"/>
        <v>0.91771999999999931</v>
      </c>
      <c r="I608" s="138">
        <v>1</v>
      </c>
      <c r="J608" s="145">
        <f t="shared" si="41"/>
        <v>1</v>
      </c>
      <c r="K608" s="146">
        <f t="shared" si="42"/>
        <v>84.353313497579933</v>
      </c>
    </row>
    <row r="609" spans="1:11">
      <c r="A609" s="138">
        <f t="shared" si="39"/>
        <v>2.4113919999999998</v>
      </c>
      <c r="B609" s="138">
        <v>2411.3919999999998</v>
      </c>
      <c r="C609" s="138">
        <v>93.921999999999997</v>
      </c>
      <c r="D609" s="138">
        <v>6.0780000000000003</v>
      </c>
      <c r="E609" s="138">
        <v>94.19</v>
      </c>
      <c r="F609" s="138">
        <v>5.81</v>
      </c>
      <c r="G609" s="138">
        <f t="shared" si="40"/>
        <v>93.921999999999997</v>
      </c>
      <c r="H609" s="148">
        <f t="shared" si="43"/>
        <v>0.88608000000000176</v>
      </c>
      <c r="I609" s="138">
        <v>1</v>
      </c>
      <c r="J609" s="145">
        <f t="shared" si="41"/>
        <v>1</v>
      </c>
      <c r="K609" s="146">
        <f t="shared" si="42"/>
        <v>81.416479555008152</v>
      </c>
    </row>
    <row r="610" spans="1:11">
      <c r="A610" s="138">
        <f t="shared" si="39"/>
        <v>2.4145569999999998</v>
      </c>
      <c r="B610" s="138">
        <v>2414.5569999999998</v>
      </c>
      <c r="C610" s="138">
        <v>93.888999999999996</v>
      </c>
      <c r="D610" s="138">
        <v>6.1109999999999998</v>
      </c>
      <c r="E610" s="138">
        <v>94.161000000000001</v>
      </c>
      <c r="F610" s="138">
        <v>5.8390000000000004</v>
      </c>
      <c r="G610" s="138">
        <f t="shared" si="40"/>
        <v>93.888999999999996</v>
      </c>
      <c r="H610" s="148">
        <f t="shared" si="43"/>
        <v>0.85443000000000213</v>
      </c>
      <c r="I610" s="138">
        <v>1</v>
      </c>
      <c r="J610" s="145">
        <f t="shared" si="41"/>
        <v>1</v>
      </c>
      <c r="K610" s="146">
        <f t="shared" si="42"/>
        <v>78.48077002154119</v>
      </c>
    </row>
    <row r="611" spans="1:11">
      <c r="A611" s="138">
        <f t="shared" si="39"/>
        <v>2.4177220000000004</v>
      </c>
      <c r="B611" s="138">
        <v>2417.7220000000002</v>
      </c>
      <c r="C611" s="138">
        <v>93.855999999999995</v>
      </c>
      <c r="D611" s="138">
        <v>6.1440000000000001</v>
      </c>
      <c r="E611" s="138">
        <v>94.132999999999996</v>
      </c>
      <c r="F611" s="138">
        <v>5.867</v>
      </c>
      <c r="G611" s="138">
        <f t="shared" si="40"/>
        <v>93.855999999999995</v>
      </c>
      <c r="H611" s="148">
        <f t="shared" si="43"/>
        <v>0.82277999999999796</v>
      </c>
      <c r="I611" s="138">
        <v>1</v>
      </c>
      <c r="J611" s="145">
        <f t="shared" si="41"/>
        <v>1</v>
      </c>
      <c r="K611" s="146">
        <f t="shared" si="42"/>
        <v>75.547104058943816</v>
      </c>
    </row>
    <row r="612" spans="1:11">
      <c r="A612" s="138">
        <f t="shared" si="39"/>
        <v>2.4208859999999999</v>
      </c>
      <c r="B612" s="138">
        <v>2420.886</v>
      </c>
      <c r="C612" s="138">
        <v>93.822999999999993</v>
      </c>
      <c r="D612" s="138">
        <v>6.1769999999999996</v>
      </c>
      <c r="E612" s="138">
        <v>94.105000000000004</v>
      </c>
      <c r="F612" s="138">
        <v>5.8949999999999996</v>
      </c>
      <c r="G612" s="138">
        <f t="shared" si="40"/>
        <v>93.822999999999993</v>
      </c>
      <c r="H612" s="148">
        <f t="shared" si="43"/>
        <v>0.79114000000000029</v>
      </c>
      <c r="I612" s="138">
        <v>1</v>
      </c>
      <c r="J612" s="145">
        <f t="shared" si="41"/>
        <v>1</v>
      </c>
      <c r="K612" s="146">
        <f t="shared" si="42"/>
        <v>72.616399537626023</v>
      </c>
    </row>
    <row r="613" spans="1:11">
      <c r="A613" s="138">
        <f t="shared" si="39"/>
        <v>2.424051</v>
      </c>
      <c r="B613" s="138">
        <v>2424.0509999999999</v>
      </c>
      <c r="C613" s="138">
        <v>93.79</v>
      </c>
      <c r="D613" s="138">
        <v>6.21</v>
      </c>
      <c r="E613" s="138">
        <v>94.075999999999993</v>
      </c>
      <c r="F613" s="138">
        <v>5.9240000000000004</v>
      </c>
      <c r="G613" s="138">
        <f t="shared" si="40"/>
        <v>93.79</v>
      </c>
      <c r="H613" s="148">
        <f t="shared" si="43"/>
        <v>0.75949000000000066</v>
      </c>
      <c r="I613" s="138">
        <v>1</v>
      </c>
      <c r="J613" s="145">
        <f t="shared" si="41"/>
        <v>1</v>
      </c>
      <c r="K613" s="146">
        <f t="shared" si="42"/>
        <v>69.686820393930063</v>
      </c>
    </row>
    <row r="614" spans="1:11">
      <c r="A614" s="138">
        <f t="shared" si="39"/>
        <v>2.4272150000000003</v>
      </c>
      <c r="B614" s="138">
        <v>2427.2150000000001</v>
      </c>
      <c r="C614" s="138">
        <v>93.757000000000005</v>
      </c>
      <c r="D614" s="138">
        <v>6.2430000000000003</v>
      </c>
      <c r="E614" s="138">
        <v>94.048000000000002</v>
      </c>
      <c r="F614" s="138">
        <v>5.952</v>
      </c>
      <c r="G614" s="138">
        <f t="shared" si="40"/>
        <v>93.757000000000005</v>
      </c>
      <c r="H614" s="148">
        <f t="shared" si="43"/>
        <v>0.72784999999999855</v>
      </c>
      <c r="I614" s="138">
        <v>1</v>
      </c>
      <c r="J614" s="145">
        <f t="shared" si="41"/>
        <v>1</v>
      </c>
      <c r="K614" s="146">
        <f t="shared" si="42"/>
        <v>66.760202045834873</v>
      </c>
    </row>
    <row r="615" spans="1:11">
      <c r="A615" s="138">
        <f t="shared" si="39"/>
        <v>2.43038</v>
      </c>
      <c r="B615" s="138">
        <v>2430.38</v>
      </c>
      <c r="C615" s="138">
        <v>93.724000000000004</v>
      </c>
      <c r="D615" s="138">
        <v>6.2759999999999998</v>
      </c>
      <c r="E615" s="138">
        <v>94.02</v>
      </c>
      <c r="F615" s="138">
        <v>5.98</v>
      </c>
      <c r="G615" s="138">
        <f t="shared" si="40"/>
        <v>93.724000000000004</v>
      </c>
      <c r="H615" s="148">
        <f t="shared" si="43"/>
        <v>0.69619999999999893</v>
      </c>
      <c r="I615" s="138">
        <v>1</v>
      </c>
      <c r="J615" s="145">
        <f t="shared" si="41"/>
        <v>1</v>
      </c>
      <c r="K615" s="146">
        <f t="shared" si="42"/>
        <v>63.834709721039907</v>
      </c>
    </row>
    <row r="616" spans="1:11">
      <c r="A616" s="138">
        <f t="shared" si="39"/>
        <v>2.4335439999999999</v>
      </c>
      <c r="B616" s="138">
        <v>2433.5439999999999</v>
      </c>
      <c r="C616" s="138">
        <v>93.691999999999993</v>
      </c>
      <c r="D616" s="138">
        <v>6.3079999999999998</v>
      </c>
      <c r="E616" s="138">
        <v>93.992000000000004</v>
      </c>
      <c r="F616" s="138">
        <v>6.008</v>
      </c>
      <c r="G616" s="138">
        <f t="shared" si="40"/>
        <v>93.691999999999993</v>
      </c>
      <c r="H616" s="148">
        <f t="shared" si="43"/>
        <v>0.66456000000000137</v>
      </c>
      <c r="I616" s="138">
        <v>1</v>
      </c>
      <c r="J616" s="145">
        <f t="shared" si="41"/>
        <v>1</v>
      </c>
      <c r="K616" s="146">
        <f t="shared" si="42"/>
        <v>60.912827685216115</v>
      </c>
    </row>
    <row r="617" spans="1:11">
      <c r="A617" s="138">
        <f t="shared" si="39"/>
        <v>2.436709</v>
      </c>
      <c r="B617" s="138">
        <v>2436.7089999999998</v>
      </c>
      <c r="C617" s="138">
        <v>93.659000000000006</v>
      </c>
      <c r="D617" s="138">
        <v>6.3410000000000002</v>
      </c>
      <c r="E617" s="138">
        <v>93.963999999999999</v>
      </c>
      <c r="F617" s="138">
        <v>6.0359999999999996</v>
      </c>
      <c r="G617" s="138">
        <f t="shared" si="40"/>
        <v>93.659000000000006</v>
      </c>
      <c r="H617" s="148">
        <f t="shared" si="43"/>
        <v>0.63291000000000164</v>
      </c>
      <c r="I617" s="138">
        <v>1</v>
      </c>
      <c r="J617" s="145">
        <f t="shared" si="41"/>
        <v>1</v>
      </c>
      <c r="K617" s="146">
        <f t="shared" si="42"/>
        <v>57.991391216127155</v>
      </c>
    </row>
    <row r="618" spans="1:11">
      <c r="A618" s="138">
        <f t="shared" si="39"/>
        <v>2.439873</v>
      </c>
      <c r="B618" s="138">
        <v>2439.873</v>
      </c>
      <c r="C618" s="138">
        <v>93.626000000000005</v>
      </c>
      <c r="D618" s="138">
        <v>6.3739999999999997</v>
      </c>
      <c r="E618" s="138">
        <v>93.935000000000002</v>
      </c>
      <c r="F618" s="138">
        <v>6.0650000000000004</v>
      </c>
      <c r="G618" s="138">
        <f t="shared" si="40"/>
        <v>93.626000000000005</v>
      </c>
      <c r="H618" s="148">
        <f t="shared" si="43"/>
        <v>0.60126999999999953</v>
      </c>
      <c r="I618" s="138">
        <v>1</v>
      </c>
      <c r="J618" s="145">
        <f t="shared" si="41"/>
        <v>1</v>
      </c>
      <c r="K618" s="146">
        <f t="shared" si="42"/>
        <v>55.072914261065961</v>
      </c>
    </row>
    <row r="619" spans="1:11">
      <c r="A619" s="138">
        <f t="shared" si="39"/>
        <v>2.443038</v>
      </c>
      <c r="B619" s="138">
        <v>2443.038</v>
      </c>
      <c r="C619" s="138">
        <v>93.593000000000004</v>
      </c>
      <c r="D619" s="138">
        <v>6.407</v>
      </c>
      <c r="E619" s="138">
        <v>93.906999999999996</v>
      </c>
      <c r="F619" s="138">
        <v>6.093</v>
      </c>
      <c r="G619" s="138">
        <f t="shared" si="40"/>
        <v>93.593000000000004</v>
      </c>
      <c r="H619" s="148">
        <f t="shared" si="43"/>
        <v>0.5696199999999999</v>
      </c>
      <c r="I619" s="138">
        <v>1</v>
      </c>
      <c r="J619" s="145">
        <f t="shared" si="41"/>
        <v>1</v>
      </c>
      <c r="K619" s="146">
        <f t="shared" si="42"/>
        <v>52.155564610877988</v>
      </c>
    </row>
    <row r="620" spans="1:11">
      <c r="A620" s="138">
        <f t="shared" si="39"/>
        <v>2.4462030000000001</v>
      </c>
      <c r="B620" s="138">
        <v>2446.203</v>
      </c>
      <c r="C620" s="138">
        <v>93.561000000000007</v>
      </c>
      <c r="D620" s="138">
        <v>6.4390000000000001</v>
      </c>
      <c r="E620" s="138">
        <v>93.879000000000005</v>
      </c>
      <c r="F620" s="138">
        <v>6.1210000000000004</v>
      </c>
      <c r="G620" s="138">
        <f t="shared" si="40"/>
        <v>93.561000000000007</v>
      </c>
      <c r="H620" s="148">
        <f t="shared" si="43"/>
        <v>0.53797000000000028</v>
      </c>
      <c r="I620" s="138">
        <v>1</v>
      </c>
      <c r="J620" s="145">
        <f t="shared" si="41"/>
        <v>1</v>
      </c>
      <c r="K620" s="146">
        <f t="shared" si="42"/>
        <v>49.240784827611023</v>
      </c>
    </row>
    <row r="621" spans="1:11">
      <c r="A621" s="138">
        <f t="shared" si="39"/>
        <v>2.4493670000000001</v>
      </c>
      <c r="B621" s="138">
        <v>2449.3670000000002</v>
      </c>
      <c r="C621" s="138">
        <v>93.528000000000006</v>
      </c>
      <c r="D621" s="138">
        <v>6.4720000000000004</v>
      </c>
      <c r="E621" s="138">
        <v>93.850999999999999</v>
      </c>
      <c r="F621" s="138">
        <v>6.149</v>
      </c>
      <c r="G621" s="138">
        <f t="shared" si="40"/>
        <v>93.528000000000006</v>
      </c>
      <c r="H621" s="148">
        <f t="shared" si="43"/>
        <v>0.50632999999999817</v>
      </c>
      <c r="I621" s="138">
        <v>1</v>
      </c>
      <c r="J621" s="145">
        <f t="shared" si="41"/>
        <v>1</v>
      </c>
      <c r="K621" s="146">
        <f t="shared" si="42"/>
        <v>46.328406340391837</v>
      </c>
    </row>
    <row r="622" spans="1:11">
      <c r="A622" s="138">
        <f t="shared" si="39"/>
        <v>2.4525320000000002</v>
      </c>
      <c r="B622" s="138">
        <v>2452.5320000000002</v>
      </c>
      <c r="C622" s="138">
        <v>93.495999999999995</v>
      </c>
      <c r="D622" s="138">
        <v>6.5039999999999996</v>
      </c>
      <c r="E622" s="138">
        <v>93.822999999999993</v>
      </c>
      <c r="F622" s="138">
        <v>6.1769999999999996</v>
      </c>
      <c r="G622" s="138">
        <f t="shared" si="40"/>
        <v>93.495999999999995</v>
      </c>
      <c r="H622" s="148">
        <f t="shared" si="43"/>
        <v>0.47467999999999844</v>
      </c>
      <c r="I622" s="138">
        <v>1</v>
      </c>
      <c r="J622" s="145">
        <f t="shared" si="41"/>
        <v>1</v>
      </c>
      <c r="K622" s="146">
        <f t="shared" si="42"/>
        <v>43.417620496223854</v>
      </c>
    </row>
    <row r="623" spans="1:11">
      <c r="A623" s="138">
        <f t="shared" si="39"/>
        <v>2.4556960000000001</v>
      </c>
      <c r="B623" s="138">
        <v>2455.6959999999999</v>
      </c>
      <c r="C623" s="138">
        <v>93.462999999999994</v>
      </c>
      <c r="D623" s="138">
        <v>6.5369999999999999</v>
      </c>
      <c r="E623" s="138">
        <v>93.795000000000002</v>
      </c>
      <c r="F623" s="138">
        <v>6.2050000000000001</v>
      </c>
      <c r="G623" s="138">
        <f t="shared" si="40"/>
        <v>93.462999999999994</v>
      </c>
      <c r="H623" s="148">
        <f t="shared" si="43"/>
        <v>0.44304000000000088</v>
      </c>
      <c r="I623" s="138">
        <v>1</v>
      </c>
      <c r="J623" s="145">
        <f t="shared" si="41"/>
        <v>1</v>
      </c>
      <c r="K623" s="146">
        <f t="shared" si="42"/>
        <v>40.509297228816081</v>
      </c>
    </row>
    <row r="624" spans="1:11">
      <c r="A624" s="138">
        <f t="shared" si="39"/>
        <v>2.4588609999999997</v>
      </c>
      <c r="B624" s="138">
        <v>2458.8609999999999</v>
      </c>
      <c r="C624" s="138">
        <v>93.430999999999997</v>
      </c>
      <c r="D624" s="138">
        <v>6.569</v>
      </c>
      <c r="E624" s="138">
        <v>93.766999999999996</v>
      </c>
      <c r="F624" s="138">
        <v>6.2329999999999997</v>
      </c>
      <c r="G624" s="138">
        <f t="shared" si="40"/>
        <v>93.430999999999997</v>
      </c>
      <c r="H624" s="148">
        <f t="shared" si="43"/>
        <v>0.41139000000000125</v>
      </c>
      <c r="I624" s="138">
        <v>1</v>
      </c>
      <c r="J624" s="145">
        <f t="shared" si="41"/>
        <v>1</v>
      </c>
      <c r="K624" s="146">
        <f t="shared" si="42"/>
        <v>37.602505323747117</v>
      </c>
    </row>
    <row r="625" spans="1:11">
      <c r="A625" s="138">
        <f t="shared" si="39"/>
        <v>2.4620250000000001</v>
      </c>
      <c r="B625" s="138">
        <v>2462.0250000000001</v>
      </c>
      <c r="C625" s="138">
        <v>93.397999999999996</v>
      </c>
      <c r="D625" s="138">
        <v>6.6020000000000003</v>
      </c>
      <c r="E625" s="138">
        <v>93.739000000000004</v>
      </c>
      <c r="F625" s="138">
        <v>6.2610000000000001</v>
      </c>
      <c r="G625" s="138">
        <f t="shared" si="40"/>
        <v>93.397999999999996</v>
      </c>
      <c r="H625" s="148">
        <f t="shared" si="43"/>
        <v>0.37974999999999914</v>
      </c>
      <c r="I625" s="138">
        <v>1</v>
      </c>
      <c r="J625" s="145">
        <f t="shared" si="41"/>
        <v>1</v>
      </c>
      <c r="K625" s="146">
        <f t="shared" si="42"/>
        <v>34.698237276149918</v>
      </c>
    </row>
    <row r="626" spans="1:11">
      <c r="A626" s="138">
        <f t="shared" si="39"/>
        <v>2.4651900000000002</v>
      </c>
      <c r="B626" s="138">
        <v>2465.19</v>
      </c>
      <c r="C626" s="138">
        <v>93.366</v>
      </c>
      <c r="D626" s="138">
        <v>6.6340000000000003</v>
      </c>
      <c r="E626" s="138">
        <v>93.710999999999999</v>
      </c>
      <c r="F626" s="138">
        <v>6.2889999999999997</v>
      </c>
      <c r="G626" s="138">
        <f t="shared" si="40"/>
        <v>93.366</v>
      </c>
      <c r="H626" s="148">
        <f t="shared" si="43"/>
        <v>0.34809999999999941</v>
      </c>
      <c r="I626" s="138">
        <v>1</v>
      </c>
      <c r="J626" s="145">
        <f t="shared" si="41"/>
        <v>1</v>
      </c>
      <c r="K626" s="146">
        <f t="shared" si="42"/>
        <v>31.79543931017994</v>
      </c>
    </row>
    <row r="627" spans="1:11">
      <c r="A627" s="138">
        <f t="shared" si="39"/>
        <v>2.4683539999999997</v>
      </c>
      <c r="B627" s="138">
        <v>2468.3539999999998</v>
      </c>
      <c r="C627" s="138">
        <v>93.332999999999998</v>
      </c>
      <c r="D627" s="138">
        <v>6.6669999999999998</v>
      </c>
      <c r="E627" s="138">
        <v>93.683000000000007</v>
      </c>
      <c r="F627" s="138">
        <v>6.3170000000000002</v>
      </c>
      <c r="G627" s="138">
        <f t="shared" si="40"/>
        <v>93.332999999999998</v>
      </c>
      <c r="H627" s="148">
        <f t="shared" si="43"/>
        <v>0.31646000000000185</v>
      </c>
      <c r="I627" s="138">
        <v>1</v>
      </c>
      <c r="J627" s="145">
        <f t="shared" si="41"/>
        <v>1</v>
      </c>
      <c r="K627" s="146">
        <f t="shared" si="42"/>
        <v>28.895226482394168</v>
      </c>
    </row>
    <row r="628" spans="1:11">
      <c r="A628" s="138">
        <f t="shared" si="39"/>
        <v>2.4715189999999998</v>
      </c>
      <c r="B628" s="138">
        <v>2471.5189999999998</v>
      </c>
      <c r="C628" s="138">
        <v>93.301000000000002</v>
      </c>
      <c r="D628" s="138">
        <v>6.6989999999999998</v>
      </c>
      <c r="E628" s="138">
        <v>93.655000000000001</v>
      </c>
      <c r="F628" s="138">
        <v>6.3449999999999998</v>
      </c>
      <c r="G628" s="138">
        <f t="shared" si="40"/>
        <v>93.301000000000002</v>
      </c>
      <c r="H628" s="148">
        <f t="shared" si="43"/>
        <v>0.28481000000000223</v>
      </c>
      <c r="I628" s="138">
        <v>1</v>
      </c>
      <c r="J628" s="145">
        <f t="shared" si="41"/>
        <v>1</v>
      </c>
      <c r="K628" s="146">
        <f t="shared" si="42"/>
        <v>25.996422455523202</v>
      </c>
    </row>
    <row r="629" spans="1:11">
      <c r="A629" s="138">
        <f t="shared" si="39"/>
        <v>2.4746840000000003</v>
      </c>
      <c r="B629" s="138">
        <v>2474.6840000000002</v>
      </c>
      <c r="C629" s="138">
        <v>93.269000000000005</v>
      </c>
      <c r="D629" s="138">
        <v>6.7309999999999999</v>
      </c>
      <c r="E629" s="138">
        <v>93.628</v>
      </c>
      <c r="F629" s="138">
        <v>6.3719999999999999</v>
      </c>
      <c r="G629" s="138">
        <f t="shared" si="40"/>
        <v>93.269000000000005</v>
      </c>
      <c r="H629" s="148">
        <f t="shared" si="43"/>
        <v>0.25315999999999805</v>
      </c>
      <c r="I629" s="138">
        <v>1</v>
      </c>
      <c r="J629" s="145">
        <f t="shared" si="41"/>
        <v>1</v>
      </c>
      <c r="K629" s="146">
        <f t="shared" si="42"/>
        <v>23.099600073131825</v>
      </c>
    </row>
    <row r="630" spans="1:11">
      <c r="A630" s="138">
        <f t="shared" si="39"/>
        <v>2.4778479999999998</v>
      </c>
      <c r="B630" s="138">
        <v>2477.848</v>
      </c>
      <c r="C630" s="138">
        <v>93.236000000000004</v>
      </c>
      <c r="D630" s="138">
        <v>6.7640000000000002</v>
      </c>
      <c r="E630" s="138">
        <v>93.6</v>
      </c>
      <c r="F630" s="138">
        <v>6.4</v>
      </c>
      <c r="G630" s="138">
        <f t="shared" si="40"/>
        <v>93.236000000000004</v>
      </c>
      <c r="H630" s="148">
        <f t="shared" si="43"/>
        <v>0.22152000000000038</v>
      </c>
      <c r="I630" s="138">
        <v>1</v>
      </c>
      <c r="J630" s="145">
        <f t="shared" si="41"/>
        <v>1</v>
      </c>
      <c r="K630" s="146">
        <f t="shared" si="42"/>
        <v>20.205454759776035</v>
      </c>
    </row>
    <row r="631" spans="1:11">
      <c r="A631" s="138">
        <f t="shared" si="39"/>
        <v>2.4810129999999999</v>
      </c>
      <c r="B631" s="138">
        <v>2481.0129999999999</v>
      </c>
      <c r="C631" s="138">
        <v>93.203999999999994</v>
      </c>
      <c r="D631" s="138">
        <v>6.7960000000000003</v>
      </c>
      <c r="E631" s="138">
        <v>93.572000000000003</v>
      </c>
      <c r="F631" s="138">
        <v>6.4279999999999999</v>
      </c>
      <c r="G631" s="138">
        <f t="shared" si="40"/>
        <v>93.203999999999994</v>
      </c>
      <c r="H631" s="148">
        <f t="shared" si="43"/>
        <v>0.18987000000000076</v>
      </c>
      <c r="I631" s="138">
        <v>1</v>
      </c>
      <c r="J631" s="145">
        <f t="shared" si="41"/>
        <v>1</v>
      </c>
      <c r="K631" s="146">
        <f t="shared" si="42"/>
        <v>17.312626316484067</v>
      </c>
    </row>
    <row r="632" spans="1:11">
      <c r="A632" s="138">
        <f t="shared" si="39"/>
        <v>2.4841770000000003</v>
      </c>
      <c r="B632" s="138">
        <v>2484.1770000000001</v>
      </c>
      <c r="C632" s="138">
        <v>93.171999999999997</v>
      </c>
      <c r="D632" s="138">
        <v>6.8280000000000003</v>
      </c>
      <c r="E632" s="138">
        <v>93.543999999999997</v>
      </c>
      <c r="F632" s="138">
        <v>6.4560000000000004</v>
      </c>
      <c r="G632" s="138">
        <f t="shared" si="40"/>
        <v>93.171999999999997</v>
      </c>
      <c r="H632" s="148">
        <f t="shared" si="43"/>
        <v>0.15822999999999865</v>
      </c>
      <c r="I632" s="138">
        <v>1</v>
      </c>
      <c r="J632" s="145">
        <f t="shared" si="41"/>
        <v>1</v>
      </c>
      <c r="K632" s="146">
        <f t="shared" si="42"/>
        <v>14.422691019347877</v>
      </c>
    </row>
    <row r="633" spans="1:11">
      <c r="A633" s="138">
        <f t="shared" si="39"/>
        <v>2.4873419999999999</v>
      </c>
      <c r="B633" s="138">
        <v>2487.3420000000001</v>
      </c>
      <c r="C633" s="138">
        <v>93.14</v>
      </c>
      <c r="D633" s="138">
        <v>6.86</v>
      </c>
      <c r="E633" s="138">
        <v>93.516999999999996</v>
      </c>
      <c r="F633" s="138">
        <v>6.4829999999999997</v>
      </c>
      <c r="G633" s="138">
        <f t="shared" si="40"/>
        <v>93.14</v>
      </c>
      <c r="H633" s="148">
        <f t="shared" si="43"/>
        <v>0.12657999999999903</v>
      </c>
      <c r="I633" s="138">
        <v>1</v>
      </c>
      <c r="J633" s="145">
        <f t="shared" si="41"/>
        <v>1</v>
      </c>
      <c r="K633" s="146">
        <f t="shared" si="42"/>
        <v>11.533825551959911</v>
      </c>
    </row>
    <row r="634" spans="1:11">
      <c r="A634" s="138">
        <f t="shared" si="39"/>
        <v>2.4905059999999999</v>
      </c>
      <c r="B634" s="138">
        <v>2490.5059999999999</v>
      </c>
      <c r="C634" s="138">
        <v>93.108000000000004</v>
      </c>
      <c r="D634" s="138">
        <v>6.8920000000000003</v>
      </c>
      <c r="E634" s="138">
        <v>93.489000000000004</v>
      </c>
      <c r="F634" s="138">
        <v>6.5110000000000001</v>
      </c>
      <c r="G634" s="138">
        <f t="shared" si="40"/>
        <v>93.108000000000004</v>
      </c>
      <c r="H634" s="148">
        <f t="shared" si="43"/>
        <v>9.4940000000001468E-2</v>
      </c>
      <c r="I634" s="138">
        <v>1</v>
      </c>
      <c r="J634" s="145">
        <f t="shared" si="41"/>
        <v>1</v>
      </c>
      <c r="K634" s="146">
        <f t="shared" si="42"/>
        <v>8.6478526046161335</v>
      </c>
    </row>
    <row r="635" spans="1:11">
      <c r="A635" s="138">
        <f t="shared" si="39"/>
        <v>2.493671</v>
      </c>
      <c r="B635" s="138">
        <v>2493.6709999999998</v>
      </c>
      <c r="C635" s="138">
        <v>93.075999999999993</v>
      </c>
      <c r="D635" s="138">
        <v>6.9240000000000004</v>
      </c>
      <c r="E635" s="138">
        <v>93.460999999999999</v>
      </c>
      <c r="F635" s="138">
        <v>6.5389999999999997</v>
      </c>
      <c r="G635" s="138">
        <f t="shared" si="40"/>
        <v>93.075999999999993</v>
      </c>
      <c r="H635" s="148">
        <f t="shared" si="43"/>
        <v>6.3290000000001734E-2</v>
      </c>
      <c r="I635" s="138">
        <v>1</v>
      </c>
      <c r="J635" s="145">
        <f t="shared" si="41"/>
        <v>1</v>
      </c>
      <c r="K635" s="146">
        <f t="shared" si="42"/>
        <v>5.762950113132157</v>
      </c>
    </row>
    <row r="636" spans="1:11">
      <c r="A636" s="138">
        <f t="shared" si="39"/>
        <v>2.4968349999999999</v>
      </c>
      <c r="B636" s="138">
        <v>2496.835</v>
      </c>
      <c r="C636" s="138">
        <v>93.043999999999997</v>
      </c>
      <c r="D636" s="138">
        <v>6.9560000000000004</v>
      </c>
      <c r="E636" s="138">
        <v>93.433999999999997</v>
      </c>
      <c r="F636" s="138">
        <v>6.5659999999999998</v>
      </c>
      <c r="G636" s="138">
        <f t="shared" si="40"/>
        <v>93.043999999999997</v>
      </c>
      <c r="H636" s="148">
        <f t="shared" si="43"/>
        <v>3.1649999999999623E-2</v>
      </c>
      <c r="I636" s="138">
        <v>1</v>
      </c>
      <c r="J636" s="145">
        <f t="shared" si="41"/>
        <v>1</v>
      </c>
      <c r="K636" s="146">
        <f t="shared" si="42"/>
        <v>2.8809395155799655</v>
      </c>
    </row>
    <row r="637" spans="1:11">
      <c r="A637" s="138">
        <f t="shared" si="39"/>
        <v>2.5</v>
      </c>
      <c r="B637" s="138">
        <v>2500</v>
      </c>
      <c r="C637" s="138">
        <v>93.012</v>
      </c>
      <c r="D637" s="138">
        <v>6.9880000000000004</v>
      </c>
      <c r="E637" s="138">
        <v>93.406000000000006</v>
      </c>
      <c r="F637" s="138">
        <v>6.5940000000000003</v>
      </c>
      <c r="G637" s="138">
        <f t="shared" si="40"/>
        <v>93.012</v>
      </c>
      <c r="H637" s="148">
        <f t="shared" si="43"/>
        <v>0</v>
      </c>
      <c r="I637" s="138">
        <v>1</v>
      </c>
      <c r="J637" s="145">
        <f t="shared" si="41"/>
        <v>1</v>
      </c>
      <c r="K637" s="146">
        <f t="shared" si="42"/>
        <v>0</v>
      </c>
    </row>
    <row r="638" spans="1:11">
      <c r="A638" s="138">
        <f t="shared" si="39"/>
        <v>2.5031650000000001</v>
      </c>
      <c r="B638" s="138">
        <v>2503.165</v>
      </c>
      <c r="C638" s="138">
        <v>92.98</v>
      </c>
      <c r="D638" s="138">
        <v>7.02</v>
      </c>
      <c r="E638" s="138">
        <v>93.379000000000005</v>
      </c>
      <c r="F638" s="138">
        <v>6.6210000000000004</v>
      </c>
      <c r="G638" s="138">
        <f t="shared" si="40"/>
        <v>92.98</v>
      </c>
      <c r="H638" s="148">
        <f t="shared" si="43"/>
        <v>0</v>
      </c>
      <c r="I638" s="138">
        <v>1</v>
      </c>
      <c r="J638" s="145">
        <f t="shared" si="41"/>
        <v>1</v>
      </c>
      <c r="K638" s="146">
        <f t="shared" si="42"/>
        <v>0</v>
      </c>
    </row>
    <row r="639" spans="1:11">
      <c r="A639" s="138">
        <f t="shared" si="39"/>
        <v>2.506329</v>
      </c>
      <c r="B639" s="138">
        <v>2506.3290000000002</v>
      </c>
      <c r="C639" s="138">
        <v>92.947999999999993</v>
      </c>
      <c r="D639" s="138">
        <v>7.0519999999999996</v>
      </c>
      <c r="E639" s="138">
        <v>93.350999999999999</v>
      </c>
      <c r="F639" s="138">
        <v>6.649</v>
      </c>
      <c r="G639" s="138">
        <f t="shared" si="40"/>
        <v>92.947999999999993</v>
      </c>
      <c r="H639" s="148">
        <f t="shared" si="43"/>
        <v>0</v>
      </c>
      <c r="I639" s="138">
        <v>1</v>
      </c>
      <c r="J639" s="145">
        <f t="shared" si="41"/>
        <v>1</v>
      </c>
      <c r="K639" s="146">
        <f t="shared" si="42"/>
        <v>0</v>
      </c>
    </row>
    <row r="640" spans="1:11">
      <c r="A640" s="138">
        <f t="shared" si="39"/>
        <v>2.5094940000000001</v>
      </c>
      <c r="B640" s="138">
        <v>2509.4940000000001</v>
      </c>
      <c r="C640" s="138">
        <v>92.915999999999997</v>
      </c>
      <c r="D640" s="138">
        <v>7.0839999999999996</v>
      </c>
      <c r="E640" s="138">
        <v>93.323999999999998</v>
      </c>
      <c r="F640" s="138">
        <v>6.6760000000000002</v>
      </c>
      <c r="G640" s="138">
        <f t="shared" si="40"/>
        <v>92.915999999999997</v>
      </c>
      <c r="H640" s="148">
        <f t="shared" si="43"/>
        <v>0</v>
      </c>
      <c r="I640" s="138">
        <v>1</v>
      </c>
      <c r="J640" s="145">
        <f t="shared" si="41"/>
        <v>1</v>
      </c>
      <c r="K640" s="146">
        <f t="shared" si="42"/>
        <v>0</v>
      </c>
    </row>
    <row r="641" spans="1:11">
      <c r="A641" s="138">
        <f t="shared" si="39"/>
        <v>2.5126580000000001</v>
      </c>
      <c r="B641" s="138">
        <v>2512.6579999999999</v>
      </c>
      <c r="C641" s="138">
        <v>92.884</v>
      </c>
      <c r="D641" s="138">
        <v>7.1159999999999997</v>
      </c>
      <c r="E641" s="138">
        <v>93.296000000000006</v>
      </c>
      <c r="F641" s="138">
        <v>6.7039999999999997</v>
      </c>
      <c r="G641" s="138">
        <f t="shared" si="40"/>
        <v>92.884</v>
      </c>
      <c r="H641" s="148">
        <f t="shared" si="43"/>
        <v>0</v>
      </c>
      <c r="I641" s="138">
        <v>1</v>
      </c>
      <c r="J641" s="145">
        <f t="shared" si="41"/>
        <v>1</v>
      </c>
      <c r="K641" s="146">
        <f t="shared" si="42"/>
        <v>0</v>
      </c>
    </row>
    <row r="642" spans="1:11">
      <c r="A642" s="138">
        <f t="shared" si="39"/>
        <v>2.5158229999999997</v>
      </c>
      <c r="B642" s="138">
        <v>2515.8229999999999</v>
      </c>
      <c r="C642" s="138">
        <v>92.852000000000004</v>
      </c>
      <c r="D642" s="138">
        <v>7.1479999999999997</v>
      </c>
      <c r="E642" s="138">
        <v>93.269000000000005</v>
      </c>
      <c r="F642" s="138">
        <v>6.7309999999999999</v>
      </c>
      <c r="G642" s="138">
        <f t="shared" si="40"/>
        <v>92.852000000000004</v>
      </c>
      <c r="H642" s="148">
        <f t="shared" si="43"/>
        <v>0</v>
      </c>
      <c r="I642" s="138">
        <v>1</v>
      </c>
      <c r="J642" s="145">
        <f t="shared" si="41"/>
        <v>1</v>
      </c>
      <c r="K642" s="146">
        <f t="shared" si="42"/>
        <v>0</v>
      </c>
    </row>
    <row r="643" spans="1:11">
      <c r="A643" s="138">
        <f t="shared" si="39"/>
        <v>2.5189870000000001</v>
      </c>
      <c r="B643" s="138">
        <v>2518.9870000000001</v>
      </c>
      <c r="C643" s="138">
        <v>92.820999999999998</v>
      </c>
      <c r="D643" s="138">
        <v>7.1790000000000003</v>
      </c>
      <c r="E643" s="138">
        <v>93.242000000000004</v>
      </c>
      <c r="F643" s="138">
        <v>6.758</v>
      </c>
      <c r="G643" s="138">
        <f t="shared" si="40"/>
        <v>92.820999999999998</v>
      </c>
      <c r="H643" s="148">
        <f t="shared" si="43"/>
        <v>0</v>
      </c>
      <c r="I643" s="138">
        <v>1</v>
      </c>
      <c r="J643" s="145">
        <f t="shared" si="41"/>
        <v>1</v>
      </c>
      <c r="K643" s="146">
        <f t="shared" si="42"/>
        <v>0</v>
      </c>
    </row>
    <row r="644" spans="1:11">
      <c r="A644" s="138">
        <f t="shared" si="39"/>
        <v>2.5221520000000002</v>
      </c>
      <c r="B644" s="138">
        <v>2522.152</v>
      </c>
      <c r="C644" s="138">
        <v>92.789000000000001</v>
      </c>
      <c r="D644" s="138">
        <v>7.2110000000000003</v>
      </c>
      <c r="E644" s="138">
        <v>93.213999999999999</v>
      </c>
      <c r="F644" s="138">
        <v>6.7859999999999996</v>
      </c>
      <c r="G644" s="138">
        <f t="shared" si="40"/>
        <v>92.789000000000001</v>
      </c>
      <c r="H644" s="148">
        <f t="shared" si="43"/>
        <v>0</v>
      </c>
      <c r="I644" s="138">
        <v>1</v>
      </c>
      <c r="J644" s="145">
        <f t="shared" si="41"/>
        <v>1</v>
      </c>
      <c r="K644" s="146">
        <f t="shared" si="42"/>
        <v>0</v>
      </c>
    </row>
    <row r="645" spans="1:11">
      <c r="A645" s="138">
        <f t="shared" si="39"/>
        <v>2.5253159999999997</v>
      </c>
      <c r="B645" s="138">
        <v>2525.3159999999998</v>
      </c>
      <c r="C645" s="138">
        <v>92.757000000000005</v>
      </c>
      <c r="D645" s="138">
        <v>7.2430000000000003</v>
      </c>
      <c r="E645" s="138">
        <v>93.186999999999998</v>
      </c>
      <c r="F645" s="138">
        <v>6.8129999999999997</v>
      </c>
      <c r="G645" s="138">
        <f t="shared" si="40"/>
        <v>92.757000000000005</v>
      </c>
      <c r="H645" s="148">
        <f t="shared" si="43"/>
        <v>0</v>
      </c>
      <c r="I645" s="138">
        <v>1</v>
      </c>
      <c r="J645" s="145">
        <f t="shared" si="41"/>
        <v>1</v>
      </c>
      <c r="K645" s="146">
        <f t="shared" si="42"/>
        <v>0</v>
      </c>
    </row>
    <row r="646" spans="1:11">
      <c r="A646" s="138">
        <f t="shared" ref="A646:A709" si="44">B646/1000</f>
        <v>2.5284810000000002</v>
      </c>
      <c r="B646" s="138">
        <v>2528.4810000000002</v>
      </c>
      <c r="C646" s="138">
        <v>92.725999999999999</v>
      </c>
      <c r="D646" s="138">
        <v>7.274</v>
      </c>
      <c r="E646" s="138">
        <v>93.16</v>
      </c>
      <c r="F646" s="138">
        <v>6.84</v>
      </c>
      <c r="G646" s="138">
        <f t="shared" ref="G646:G709" si="45">MIN(C646,E646)</f>
        <v>92.725999999999999</v>
      </c>
      <c r="H646" s="148">
        <f t="shared" si="43"/>
        <v>0</v>
      </c>
      <c r="I646" s="138">
        <v>1</v>
      </c>
      <c r="J646" s="145">
        <f t="shared" ref="J646:J709" si="46">MIN(B646/1000*$M$1+$O$1,1)</f>
        <v>1</v>
      </c>
      <c r="K646" s="146">
        <f t="shared" si="42"/>
        <v>0</v>
      </c>
    </row>
    <row r="647" spans="1:11">
      <c r="A647" s="138">
        <f t="shared" si="44"/>
        <v>2.5316460000000003</v>
      </c>
      <c r="B647" s="138">
        <v>2531.6460000000002</v>
      </c>
      <c r="C647" s="138">
        <v>92.694000000000003</v>
      </c>
      <c r="D647" s="138">
        <v>7.306</v>
      </c>
      <c r="E647" s="138">
        <v>93.132999999999996</v>
      </c>
      <c r="F647" s="138">
        <v>6.867</v>
      </c>
      <c r="G647" s="138">
        <f t="shared" si="45"/>
        <v>92.694000000000003</v>
      </c>
      <c r="H647" s="148">
        <f t="shared" si="43"/>
        <v>0</v>
      </c>
      <c r="I647" s="138">
        <v>1</v>
      </c>
      <c r="J647" s="145">
        <f t="shared" si="46"/>
        <v>1</v>
      </c>
      <c r="K647" s="146">
        <f t="shared" ref="K647:K710" si="47">G647*H647*I647*J647*$G$2/100</f>
        <v>0</v>
      </c>
    </row>
    <row r="648" spans="1:11">
      <c r="A648" s="138">
        <f t="shared" si="44"/>
        <v>2.5348099999999998</v>
      </c>
      <c r="B648" s="138">
        <v>2534.81</v>
      </c>
      <c r="C648" s="138">
        <v>92.662999999999997</v>
      </c>
      <c r="D648" s="138">
        <v>7.3369999999999997</v>
      </c>
      <c r="E648" s="138">
        <v>93.105999999999995</v>
      </c>
      <c r="F648" s="138">
        <v>6.8940000000000001</v>
      </c>
      <c r="G648" s="138">
        <f t="shared" si="45"/>
        <v>92.662999999999997</v>
      </c>
      <c r="H648" s="148">
        <f t="shared" si="43"/>
        <v>0</v>
      </c>
      <c r="I648" s="138">
        <v>1</v>
      </c>
      <c r="J648" s="145">
        <f t="shared" si="46"/>
        <v>1</v>
      </c>
      <c r="K648" s="146">
        <f t="shared" si="47"/>
        <v>0</v>
      </c>
    </row>
    <row r="649" spans="1:11">
      <c r="A649" s="138">
        <f t="shared" si="44"/>
        <v>2.5379749999999999</v>
      </c>
      <c r="B649" s="138">
        <v>2537.9749999999999</v>
      </c>
      <c r="C649" s="138">
        <v>92.631</v>
      </c>
      <c r="D649" s="138">
        <v>7.3689999999999998</v>
      </c>
      <c r="E649" s="138">
        <v>93.078999999999994</v>
      </c>
      <c r="F649" s="138">
        <v>6.9210000000000003</v>
      </c>
      <c r="G649" s="138">
        <f t="shared" si="45"/>
        <v>92.631</v>
      </c>
      <c r="H649" s="148">
        <f t="shared" si="43"/>
        <v>0</v>
      </c>
      <c r="I649" s="138">
        <v>1</v>
      </c>
      <c r="J649" s="145">
        <f t="shared" si="46"/>
        <v>1</v>
      </c>
      <c r="K649" s="146">
        <f t="shared" si="47"/>
        <v>0</v>
      </c>
    </row>
    <row r="650" spans="1:11">
      <c r="A650" s="138">
        <f t="shared" si="44"/>
        <v>2.5411390000000003</v>
      </c>
      <c r="B650" s="138">
        <v>2541.1390000000001</v>
      </c>
      <c r="C650" s="138">
        <v>92.6</v>
      </c>
      <c r="D650" s="138">
        <v>7.4</v>
      </c>
      <c r="E650" s="138">
        <v>93.051000000000002</v>
      </c>
      <c r="F650" s="138">
        <v>6.9489999999999998</v>
      </c>
      <c r="G650" s="138">
        <f t="shared" si="45"/>
        <v>92.6</v>
      </c>
      <c r="H650" s="148">
        <f t="shared" si="43"/>
        <v>0</v>
      </c>
      <c r="I650" s="138">
        <v>1</v>
      </c>
      <c r="J650" s="145">
        <f t="shared" si="46"/>
        <v>1</v>
      </c>
      <c r="K650" s="146">
        <f t="shared" si="47"/>
        <v>0</v>
      </c>
    </row>
    <row r="651" spans="1:11">
      <c r="A651" s="138">
        <f t="shared" si="44"/>
        <v>2.5443039999999999</v>
      </c>
      <c r="B651" s="138">
        <v>2544.3040000000001</v>
      </c>
      <c r="C651" s="138">
        <v>92.567999999999998</v>
      </c>
      <c r="D651" s="138">
        <v>7.4320000000000004</v>
      </c>
      <c r="E651" s="138">
        <v>93.024000000000001</v>
      </c>
      <c r="F651" s="138">
        <v>6.976</v>
      </c>
      <c r="G651" s="138">
        <f t="shared" si="45"/>
        <v>92.567999999999998</v>
      </c>
      <c r="H651" s="148">
        <f t="shared" si="43"/>
        <v>0</v>
      </c>
      <c r="I651" s="138">
        <v>1</v>
      </c>
      <c r="J651" s="145">
        <f t="shared" si="46"/>
        <v>1</v>
      </c>
      <c r="K651" s="146">
        <f t="shared" si="47"/>
        <v>0</v>
      </c>
    </row>
    <row r="652" spans="1:11">
      <c r="A652" s="138">
        <f t="shared" si="44"/>
        <v>2.5474679999999998</v>
      </c>
      <c r="B652" s="138">
        <v>2547.4679999999998</v>
      </c>
      <c r="C652" s="138">
        <v>92.537000000000006</v>
      </c>
      <c r="D652" s="138">
        <v>7.4630000000000001</v>
      </c>
      <c r="E652" s="138">
        <v>92.997</v>
      </c>
      <c r="F652" s="138">
        <v>7.0030000000000001</v>
      </c>
      <c r="G652" s="138">
        <f t="shared" si="45"/>
        <v>92.537000000000006</v>
      </c>
      <c r="H652" s="148">
        <f t="shared" si="43"/>
        <v>0</v>
      </c>
      <c r="I652" s="138">
        <v>1</v>
      </c>
      <c r="J652" s="145">
        <f t="shared" si="46"/>
        <v>1</v>
      </c>
      <c r="K652" s="146">
        <f t="shared" si="47"/>
        <v>0</v>
      </c>
    </row>
    <row r="653" spans="1:11">
      <c r="A653" s="138">
        <f t="shared" si="44"/>
        <v>2.5506329999999999</v>
      </c>
      <c r="B653" s="138">
        <v>2550.6329999999998</v>
      </c>
      <c r="C653" s="138">
        <v>92.506</v>
      </c>
      <c r="D653" s="138">
        <v>7.4939999999999998</v>
      </c>
      <c r="E653" s="138">
        <v>92.97</v>
      </c>
      <c r="F653" s="138">
        <v>7.03</v>
      </c>
      <c r="G653" s="138">
        <f t="shared" si="45"/>
        <v>92.506</v>
      </c>
      <c r="H653" s="148">
        <f t="shared" si="43"/>
        <v>0</v>
      </c>
      <c r="I653" s="138">
        <v>1</v>
      </c>
      <c r="J653" s="145">
        <f t="shared" si="46"/>
        <v>1</v>
      </c>
      <c r="K653" s="146">
        <f t="shared" si="47"/>
        <v>0</v>
      </c>
    </row>
    <row r="654" spans="1:11">
      <c r="A654" s="138">
        <f t="shared" si="44"/>
        <v>2.5537969999999999</v>
      </c>
      <c r="B654" s="138">
        <v>2553.797</v>
      </c>
      <c r="C654" s="138">
        <v>92.474999999999994</v>
      </c>
      <c r="D654" s="138">
        <v>7.5250000000000004</v>
      </c>
      <c r="E654" s="138">
        <v>92.944000000000003</v>
      </c>
      <c r="F654" s="138">
        <v>7.056</v>
      </c>
      <c r="G654" s="138">
        <f t="shared" si="45"/>
        <v>92.474999999999994</v>
      </c>
      <c r="H654" s="148">
        <f t="shared" si="43"/>
        <v>0</v>
      </c>
      <c r="I654" s="138">
        <v>1</v>
      </c>
      <c r="J654" s="145">
        <f t="shared" si="46"/>
        <v>1</v>
      </c>
      <c r="K654" s="146">
        <f t="shared" si="47"/>
        <v>0</v>
      </c>
    </row>
    <row r="655" spans="1:11">
      <c r="A655" s="138">
        <f t="shared" si="44"/>
        <v>2.556962</v>
      </c>
      <c r="B655" s="138">
        <v>2556.962</v>
      </c>
      <c r="C655" s="138">
        <v>92.442999999999998</v>
      </c>
      <c r="D655" s="138">
        <v>7.5570000000000004</v>
      </c>
      <c r="E655" s="138">
        <v>92.917000000000002</v>
      </c>
      <c r="F655" s="138">
        <v>7.0830000000000002</v>
      </c>
      <c r="G655" s="138">
        <f t="shared" si="45"/>
        <v>92.442999999999998</v>
      </c>
      <c r="H655" s="148">
        <f t="shared" si="43"/>
        <v>0</v>
      </c>
      <c r="I655" s="138">
        <v>1</v>
      </c>
      <c r="J655" s="145">
        <f t="shared" si="46"/>
        <v>1</v>
      </c>
      <c r="K655" s="146">
        <f t="shared" si="47"/>
        <v>0</v>
      </c>
    </row>
    <row r="656" spans="1:11">
      <c r="A656" s="138">
        <f t="shared" si="44"/>
        <v>2.560127</v>
      </c>
      <c r="B656" s="138">
        <v>2560.127</v>
      </c>
      <c r="C656" s="138">
        <v>92.412000000000006</v>
      </c>
      <c r="D656" s="138">
        <v>7.5880000000000001</v>
      </c>
      <c r="E656" s="138">
        <v>92.89</v>
      </c>
      <c r="F656" s="138">
        <v>7.11</v>
      </c>
      <c r="G656" s="138">
        <f t="shared" si="45"/>
        <v>92.412000000000006</v>
      </c>
      <c r="H656" s="148">
        <f t="shared" si="43"/>
        <v>0</v>
      </c>
      <c r="I656" s="138">
        <v>1</v>
      </c>
      <c r="J656" s="145">
        <f t="shared" si="46"/>
        <v>1</v>
      </c>
      <c r="K656" s="146">
        <f t="shared" si="47"/>
        <v>0</v>
      </c>
    </row>
    <row r="657" spans="1:11">
      <c r="A657" s="138">
        <f t="shared" si="44"/>
        <v>2.563291</v>
      </c>
      <c r="B657" s="138">
        <v>2563.2910000000002</v>
      </c>
      <c r="C657" s="138">
        <v>92.381</v>
      </c>
      <c r="D657" s="138">
        <v>7.6189999999999998</v>
      </c>
      <c r="E657" s="138">
        <v>92.863</v>
      </c>
      <c r="F657" s="138">
        <v>7.1369999999999996</v>
      </c>
      <c r="G657" s="138">
        <f t="shared" si="45"/>
        <v>92.381</v>
      </c>
      <c r="H657" s="148">
        <f t="shared" si="43"/>
        <v>0</v>
      </c>
      <c r="I657" s="138">
        <v>1</v>
      </c>
      <c r="J657" s="145">
        <f t="shared" si="46"/>
        <v>1</v>
      </c>
      <c r="K657" s="146">
        <f t="shared" si="47"/>
        <v>0</v>
      </c>
    </row>
    <row r="658" spans="1:11">
      <c r="A658" s="138">
        <f t="shared" si="44"/>
        <v>2.5664560000000001</v>
      </c>
      <c r="B658" s="138">
        <v>2566.4560000000001</v>
      </c>
      <c r="C658" s="138">
        <v>92.35</v>
      </c>
      <c r="D658" s="138">
        <v>7.65</v>
      </c>
      <c r="E658" s="138">
        <v>92.835999999999999</v>
      </c>
      <c r="F658" s="138">
        <v>7.1639999999999997</v>
      </c>
      <c r="G658" s="138">
        <f t="shared" si="45"/>
        <v>92.35</v>
      </c>
      <c r="H658" s="148">
        <f t="shared" si="43"/>
        <v>0</v>
      </c>
      <c r="I658" s="138">
        <v>1</v>
      </c>
      <c r="J658" s="145">
        <f t="shared" si="46"/>
        <v>1</v>
      </c>
      <c r="K658" s="146">
        <f t="shared" si="47"/>
        <v>0</v>
      </c>
    </row>
    <row r="659" spans="1:11">
      <c r="A659" s="138">
        <f t="shared" si="44"/>
        <v>2.56962</v>
      </c>
      <c r="B659" s="138">
        <v>2569.62</v>
      </c>
      <c r="C659" s="138">
        <v>92.319000000000003</v>
      </c>
      <c r="D659" s="138">
        <v>7.681</v>
      </c>
      <c r="E659" s="138">
        <v>92.81</v>
      </c>
      <c r="F659" s="138">
        <v>7.19</v>
      </c>
      <c r="G659" s="138">
        <f t="shared" si="45"/>
        <v>92.319000000000003</v>
      </c>
      <c r="H659" s="148">
        <f t="shared" si="43"/>
        <v>0</v>
      </c>
      <c r="I659" s="138">
        <v>1</v>
      </c>
      <c r="J659" s="145">
        <f t="shared" si="46"/>
        <v>1</v>
      </c>
      <c r="K659" s="146">
        <f t="shared" si="47"/>
        <v>0</v>
      </c>
    </row>
    <row r="660" spans="1:11">
      <c r="A660" s="138">
        <f t="shared" si="44"/>
        <v>2.5727849999999997</v>
      </c>
      <c r="B660" s="138">
        <v>2572.7849999999999</v>
      </c>
      <c r="C660" s="138">
        <v>92.287999999999997</v>
      </c>
      <c r="D660" s="138">
        <v>7.7119999999999997</v>
      </c>
      <c r="E660" s="138">
        <v>92.783000000000001</v>
      </c>
      <c r="F660" s="138">
        <v>7.2169999999999996</v>
      </c>
      <c r="G660" s="138">
        <f t="shared" si="45"/>
        <v>92.287999999999997</v>
      </c>
      <c r="H660" s="148">
        <f t="shared" si="43"/>
        <v>0</v>
      </c>
      <c r="I660" s="138">
        <v>1</v>
      </c>
      <c r="J660" s="145">
        <f t="shared" si="46"/>
        <v>1</v>
      </c>
      <c r="K660" s="146">
        <f t="shared" si="47"/>
        <v>0</v>
      </c>
    </row>
    <row r="661" spans="1:11">
      <c r="A661" s="138">
        <f t="shared" si="44"/>
        <v>2.575949</v>
      </c>
      <c r="B661" s="138">
        <v>2575.9490000000001</v>
      </c>
      <c r="C661" s="138">
        <v>92.257000000000005</v>
      </c>
      <c r="D661" s="138">
        <v>7.7430000000000003</v>
      </c>
      <c r="E661" s="138">
        <v>92.756</v>
      </c>
      <c r="F661" s="138">
        <v>7.2439999999999998</v>
      </c>
      <c r="G661" s="138">
        <f t="shared" si="45"/>
        <v>92.257000000000005</v>
      </c>
      <c r="H661" s="148">
        <f t="shared" si="43"/>
        <v>0</v>
      </c>
      <c r="I661" s="138">
        <v>1</v>
      </c>
      <c r="J661" s="145">
        <f t="shared" si="46"/>
        <v>1</v>
      </c>
      <c r="K661" s="146">
        <f t="shared" si="47"/>
        <v>0</v>
      </c>
    </row>
    <row r="662" spans="1:11">
      <c r="A662" s="138">
        <f t="shared" si="44"/>
        <v>2.5791140000000001</v>
      </c>
      <c r="B662" s="138">
        <v>2579.114</v>
      </c>
      <c r="C662" s="138">
        <v>92.225999999999999</v>
      </c>
      <c r="D662" s="138">
        <v>7.774</v>
      </c>
      <c r="E662" s="138">
        <v>92.73</v>
      </c>
      <c r="F662" s="138">
        <v>7.27</v>
      </c>
      <c r="G662" s="138">
        <f t="shared" si="45"/>
        <v>92.225999999999999</v>
      </c>
      <c r="H662" s="148">
        <f t="shared" si="43"/>
        <v>0</v>
      </c>
      <c r="I662" s="138">
        <v>1</v>
      </c>
      <c r="J662" s="145">
        <f t="shared" si="46"/>
        <v>1</v>
      </c>
      <c r="K662" s="146">
        <f t="shared" si="47"/>
        <v>0</v>
      </c>
    </row>
    <row r="663" spans="1:11">
      <c r="A663" s="138">
        <f t="shared" si="44"/>
        <v>2.5822779999999996</v>
      </c>
      <c r="B663" s="138">
        <v>2582.2779999999998</v>
      </c>
      <c r="C663" s="138">
        <v>92.195999999999998</v>
      </c>
      <c r="D663" s="138">
        <v>7.8040000000000003</v>
      </c>
      <c r="E663" s="138">
        <v>92.703000000000003</v>
      </c>
      <c r="F663" s="138">
        <v>7.2969999999999997</v>
      </c>
      <c r="G663" s="138">
        <f t="shared" si="45"/>
        <v>92.195999999999998</v>
      </c>
      <c r="H663" s="148">
        <f t="shared" si="43"/>
        <v>0</v>
      </c>
      <c r="I663" s="138">
        <v>1</v>
      </c>
      <c r="J663" s="145">
        <f t="shared" si="46"/>
        <v>1</v>
      </c>
      <c r="K663" s="146">
        <f t="shared" si="47"/>
        <v>0</v>
      </c>
    </row>
    <row r="664" spans="1:11">
      <c r="A664" s="138">
        <f t="shared" si="44"/>
        <v>2.5854430000000002</v>
      </c>
      <c r="B664" s="138">
        <v>2585.4430000000002</v>
      </c>
      <c r="C664" s="138">
        <v>92.165000000000006</v>
      </c>
      <c r="D664" s="138">
        <v>7.835</v>
      </c>
      <c r="E664" s="138">
        <v>92.677000000000007</v>
      </c>
      <c r="F664" s="138">
        <v>7.3230000000000004</v>
      </c>
      <c r="G664" s="138">
        <f t="shared" si="45"/>
        <v>92.165000000000006</v>
      </c>
      <c r="H664" s="148">
        <f t="shared" si="43"/>
        <v>0</v>
      </c>
      <c r="I664" s="138">
        <v>1</v>
      </c>
      <c r="J664" s="145">
        <f t="shared" si="46"/>
        <v>1</v>
      </c>
      <c r="K664" s="146">
        <f t="shared" si="47"/>
        <v>0</v>
      </c>
    </row>
    <row r="665" spans="1:11">
      <c r="A665" s="138">
        <f t="shared" si="44"/>
        <v>2.5886080000000002</v>
      </c>
      <c r="B665" s="138">
        <v>2588.6080000000002</v>
      </c>
      <c r="C665" s="138">
        <v>92.134</v>
      </c>
      <c r="D665" s="138">
        <v>7.8659999999999997</v>
      </c>
      <c r="E665" s="138">
        <v>92.65</v>
      </c>
      <c r="F665" s="138">
        <v>7.35</v>
      </c>
      <c r="G665" s="138">
        <f t="shared" si="45"/>
        <v>92.134</v>
      </c>
      <c r="H665" s="148">
        <f t="shared" si="43"/>
        <v>0</v>
      </c>
      <c r="I665" s="138">
        <v>1</v>
      </c>
      <c r="J665" s="145">
        <f t="shared" si="46"/>
        <v>1</v>
      </c>
      <c r="K665" s="146">
        <f t="shared" si="47"/>
        <v>0</v>
      </c>
    </row>
    <row r="666" spans="1:11">
      <c r="A666" s="138">
        <f t="shared" si="44"/>
        <v>2.5917719999999997</v>
      </c>
      <c r="B666" s="138">
        <v>2591.7719999999999</v>
      </c>
      <c r="C666" s="138">
        <v>92.102999999999994</v>
      </c>
      <c r="D666" s="138">
        <v>7.8970000000000002</v>
      </c>
      <c r="E666" s="138">
        <v>92.623999999999995</v>
      </c>
      <c r="F666" s="138">
        <v>7.3760000000000003</v>
      </c>
      <c r="G666" s="138">
        <f t="shared" si="45"/>
        <v>92.102999999999994</v>
      </c>
      <c r="H666" s="148">
        <f t="shared" si="43"/>
        <v>0</v>
      </c>
      <c r="I666" s="138">
        <v>1</v>
      </c>
      <c r="J666" s="145">
        <f t="shared" si="46"/>
        <v>1</v>
      </c>
      <c r="K666" s="146">
        <f t="shared" si="47"/>
        <v>0</v>
      </c>
    </row>
    <row r="667" spans="1:11">
      <c r="A667" s="138">
        <f t="shared" si="44"/>
        <v>2.5949369999999998</v>
      </c>
      <c r="B667" s="138">
        <v>2594.9369999999999</v>
      </c>
      <c r="C667" s="138">
        <v>92.072999999999993</v>
      </c>
      <c r="D667" s="138">
        <v>7.9269999999999996</v>
      </c>
      <c r="E667" s="138">
        <v>92.596999999999994</v>
      </c>
      <c r="F667" s="138">
        <v>7.4029999999999996</v>
      </c>
      <c r="G667" s="138">
        <f t="shared" si="45"/>
        <v>92.072999999999993</v>
      </c>
      <c r="H667" s="148">
        <f t="shared" si="43"/>
        <v>0</v>
      </c>
      <c r="I667" s="138">
        <v>1</v>
      </c>
      <c r="J667" s="145">
        <f t="shared" si="46"/>
        <v>1</v>
      </c>
      <c r="K667" s="146">
        <f t="shared" si="47"/>
        <v>0</v>
      </c>
    </row>
    <row r="668" spans="1:11">
      <c r="A668" s="138">
        <f t="shared" si="44"/>
        <v>2.5981010000000002</v>
      </c>
      <c r="B668" s="138">
        <v>2598.1010000000001</v>
      </c>
      <c r="C668" s="138">
        <v>92.042000000000002</v>
      </c>
      <c r="D668" s="138">
        <v>7.9580000000000002</v>
      </c>
      <c r="E668" s="138">
        <v>92.570999999999998</v>
      </c>
      <c r="F668" s="138">
        <v>7.4290000000000003</v>
      </c>
      <c r="G668" s="138">
        <f t="shared" si="45"/>
        <v>92.042000000000002</v>
      </c>
      <c r="H668" s="148">
        <f t="shared" si="43"/>
        <v>0</v>
      </c>
      <c r="I668" s="138">
        <v>1</v>
      </c>
      <c r="J668" s="145">
        <f t="shared" si="46"/>
        <v>1</v>
      </c>
      <c r="K668" s="146">
        <f t="shared" si="47"/>
        <v>0</v>
      </c>
    </row>
    <row r="669" spans="1:11">
      <c r="A669" s="138">
        <f t="shared" si="44"/>
        <v>2.6012659999999999</v>
      </c>
      <c r="B669" s="138">
        <v>2601.2660000000001</v>
      </c>
      <c r="C669" s="138">
        <v>92.012</v>
      </c>
      <c r="D669" s="138">
        <v>7.9880000000000004</v>
      </c>
      <c r="E669" s="138">
        <v>92.545000000000002</v>
      </c>
      <c r="F669" s="138">
        <v>7.4550000000000001</v>
      </c>
      <c r="G669" s="138">
        <f t="shared" si="45"/>
        <v>92.012</v>
      </c>
      <c r="H669" s="148">
        <f t="shared" si="43"/>
        <v>0</v>
      </c>
      <c r="I669" s="138">
        <v>1</v>
      </c>
      <c r="J669" s="145">
        <f t="shared" si="46"/>
        <v>1</v>
      </c>
      <c r="K669" s="146">
        <f t="shared" si="47"/>
        <v>0</v>
      </c>
    </row>
    <row r="670" spans="1:11">
      <c r="A670" s="138">
        <f t="shared" si="44"/>
        <v>2.6044299999999998</v>
      </c>
      <c r="B670" s="138">
        <v>2604.4299999999998</v>
      </c>
      <c r="C670" s="138">
        <v>91.980999999999995</v>
      </c>
      <c r="D670" s="138">
        <v>8.0190000000000001</v>
      </c>
      <c r="E670" s="138">
        <v>92.518000000000001</v>
      </c>
      <c r="F670" s="138">
        <v>7.4820000000000002</v>
      </c>
      <c r="G670" s="138">
        <f t="shared" si="45"/>
        <v>91.980999999999995</v>
      </c>
      <c r="H670" s="148">
        <f t="shared" si="43"/>
        <v>0</v>
      </c>
      <c r="I670" s="138">
        <v>1</v>
      </c>
      <c r="J670" s="145">
        <f t="shared" si="46"/>
        <v>1</v>
      </c>
      <c r="K670" s="146">
        <f t="shared" si="47"/>
        <v>0</v>
      </c>
    </row>
    <row r="671" spans="1:11">
      <c r="A671" s="138">
        <f t="shared" si="44"/>
        <v>2.6075949999999999</v>
      </c>
      <c r="B671" s="138">
        <v>2607.5949999999998</v>
      </c>
      <c r="C671" s="138">
        <v>91.950999999999993</v>
      </c>
      <c r="D671" s="138">
        <v>8.0489999999999995</v>
      </c>
      <c r="E671" s="138">
        <v>92.492000000000004</v>
      </c>
      <c r="F671" s="138">
        <v>7.508</v>
      </c>
      <c r="G671" s="138">
        <f t="shared" si="45"/>
        <v>91.950999999999993</v>
      </c>
      <c r="H671" s="148">
        <f t="shared" ref="H671:H734" si="48">MAX(0,1+(2400-B671)/100)</f>
        <v>0</v>
      </c>
      <c r="I671" s="138">
        <v>1</v>
      </c>
      <c r="J671" s="145">
        <f t="shared" si="46"/>
        <v>1</v>
      </c>
      <c r="K671" s="146">
        <f t="shared" si="47"/>
        <v>0</v>
      </c>
    </row>
    <row r="672" spans="1:11">
      <c r="A672" s="138">
        <f t="shared" si="44"/>
        <v>2.6107589999999998</v>
      </c>
      <c r="B672" s="138">
        <v>2610.759</v>
      </c>
      <c r="C672" s="138">
        <v>91.921000000000006</v>
      </c>
      <c r="D672" s="138">
        <v>8.0790000000000006</v>
      </c>
      <c r="E672" s="138">
        <v>92.465999999999994</v>
      </c>
      <c r="F672" s="138">
        <v>7.5339999999999998</v>
      </c>
      <c r="G672" s="138">
        <f t="shared" si="45"/>
        <v>91.921000000000006</v>
      </c>
      <c r="H672" s="148">
        <f t="shared" si="48"/>
        <v>0</v>
      </c>
      <c r="I672" s="138">
        <v>1</v>
      </c>
      <c r="J672" s="145">
        <f t="shared" si="46"/>
        <v>1</v>
      </c>
      <c r="K672" s="146">
        <f t="shared" si="47"/>
        <v>0</v>
      </c>
    </row>
    <row r="673" spans="1:11">
      <c r="A673" s="138">
        <f t="shared" si="44"/>
        <v>2.6139239999999999</v>
      </c>
      <c r="B673" s="138">
        <v>2613.924</v>
      </c>
      <c r="C673" s="138">
        <v>91.89</v>
      </c>
      <c r="D673" s="138">
        <v>8.11</v>
      </c>
      <c r="E673" s="138">
        <v>92.44</v>
      </c>
      <c r="F673" s="138">
        <v>7.56</v>
      </c>
      <c r="G673" s="138">
        <f t="shared" si="45"/>
        <v>91.89</v>
      </c>
      <c r="H673" s="148">
        <f t="shared" si="48"/>
        <v>0</v>
      </c>
      <c r="I673" s="138">
        <v>1</v>
      </c>
      <c r="J673" s="145">
        <f t="shared" si="46"/>
        <v>1</v>
      </c>
      <c r="K673" s="146">
        <f t="shared" si="47"/>
        <v>0</v>
      </c>
    </row>
    <row r="674" spans="1:11">
      <c r="A674" s="138">
        <f t="shared" si="44"/>
        <v>2.617089</v>
      </c>
      <c r="B674" s="138">
        <v>2617.0889999999999</v>
      </c>
      <c r="C674" s="138">
        <v>91.86</v>
      </c>
      <c r="D674" s="138">
        <v>8.14</v>
      </c>
      <c r="E674" s="138">
        <v>92.414000000000001</v>
      </c>
      <c r="F674" s="138">
        <v>7.5860000000000003</v>
      </c>
      <c r="G674" s="138">
        <f t="shared" si="45"/>
        <v>91.86</v>
      </c>
      <c r="H674" s="148">
        <f t="shared" si="48"/>
        <v>0</v>
      </c>
      <c r="I674" s="138">
        <v>1</v>
      </c>
      <c r="J674" s="145">
        <f t="shared" si="46"/>
        <v>1</v>
      </c>
      <c r="K674" s="146">
        <f t="shared" si="47"/>
        <v>0</v>
      </c>
    </row>
    <row r="675" spans="1:11">
      <c r="A675" s="138">
        <f t="shared" si="44"/>
        <v>2.6202529999999999</v>
      </c>
      <c r="B675" s="138">
        <v>2620.2530000000002</v>
      </c>
      <c r="C675" s="138">
        <v>91.83</v>
      </c>
      <c r="D675" s="138">
        <v>8.17</v>
      </c>
      <c r="E675" s="138">
        <v>92.388000000000005</v>
      </c>
      <c r="F675" s="138">
        <v>7.6120000000000001</v>
      </c>
      <c r="G675" s="138">
        <f t="shared" si="45"/>
        <v>91.83</v>
      </c>
      <c r="H675" s="148">
        <f t="shared" si="48"/>
        <v>0</v>
      </c>
      <c r="I675" s="138">
        <v>1</v>
      </c>
      <c r="J675" s="145">
        <f t="shared" si="46"/>
        <v>1</v>
      </c>
      <c r="K675" s="146">
        <f t="shared" si="47"/>
        <v>0</v>
      </c>
    </row>
    <row r="676" spans="1:11">
      <c r="A676" s="138">
        <f t="shared" si="44"/>
        <v>2.623418</v>
      </c>
      <c r="B676" s="138">
        <v>2623.4180000000001</v>
      </c>
      <c r="C676" s="138">
        <v>91.8</v>
      </c>
      <c r="D676" s="138">
        <v>8.1999999999999993</v>
      </c>
      <c r="E676" s="138">
        <v>92.361999999999995</v>
      </c>
      <c r="F676" s="138">
        <v>7.6379999999999999</v>
      </c>
      <c r="G676" s="138">
        <f t="shared" si="45"/>
        <v>91.8</v>
      </c>
      <c r="H676" s="148">
        <f t="shared" si="48"/>
        <v>0</v>
      </c>
      <c r="I676" s="138">
        <v>1</v>
      </c>
      <c r="J676" s="145">
        <f t="shared" si="46"/>
        <v>1</v>
      </c>
      <c r="K676" s="146">
        <f t="shared" si="47"/>
        <v>0</v>
      </c>
    </row>
    <row r="677" spans="1:11">
      <c r="A677" s="138">
        <f t="shared" si="44"/>
        <v>2.626582</v>
      </c>
      <c r="B677" s="138">
        <v>2626.5819999999999</v>
      </c>
      <c r="C677" s="138">
        <v>91.77</v>
      </c>
      <c r="D677" s="138">
        <v>8.23</v>
      </c>
      <c r="E677" s="138">
        <v>92.335999999999999</v>
      </c>
      <c r="F677" s="138">
        <v>7.6639999999999997</v>
      </c>
      <c r="G677" s="138">
        <f t="shared" si="45"/>
        <v>91.77</v>
      </c>
      <c r="H677" s="148">
        <f t="shared" si="48"/>
        <v>0</v>
      </c>
      <c r="I677" s="138">
        <v>1</v>
      </c>
      <c r="J677" s="145">
        <f t="shared" si="46"/>
        <v>1</v>
      </c>
      <c r="K677" s="146">
        <f t="shared" si="47"/>
        <v>0</v>
      </c>
    </row>
    <row r="678" spans="1:11">
      <c r="A678" s="138">
        <f t="shared" si="44"/>
        <v>2.6297470000000001</v>
      </c>
      <c r="B678" s="138">
        <v>2629.7469999999998</v>
      </c>
      <c r="C678" s="138">
        <v>91.739000000000004</v>
      </c>
      <c r="D678" s="138">
        <v>8.2609999999999992</v>
      </c>
      <c r="E678" s="138">
        <v>92.31</v>
      </c>
      <c r="F678" s="138">
        <v>7.69</v>
      </c>
      <c r="G678" s="138">
        <f t="shared" si="45"/>
        <v>91.739000000000004</v>
      </c>
      <c r="H678" s="148">
        <f t="shared" si="48"/>
        <v>0</v>
      </c>
      <c r="I678" s="138">
        <v>1</v>
      </c>
      <c r="J678" s="145">
        <f t="shared" si="46"/>
        <v>1</v>
      </c>
      <c r="K678" s="146">
        <f t="shared" si="47"/>
        <v>0</v>
      </c>
    </row>
    <row r="679" spans="1:11">
      <c r="A679" s="138">
        <f t="shared" si="44"/>
        <v>2.632911</v>
      </c>
      <c r="B679" s="138">
        <v>2632.9110000000001</v>
      </c>
      <c r="C679" s="138">
        <v>91.709000000000003</v>
      </c>
      <c r="D679" s="138">
        <v>8.2910000000000004</v>
      </c>
      <c r="E679" s="138">
        <v>92.284000000000006</v>
      </c>
      <c r="F679" s="138">
        <v>7.7160000000000002</v>
      </c>
      <c r="G679" s="138">
        <f t="shared" si="45"/>
        <v>91.709000000000003</v>
      </c>
      <c r="H679" s="148">
        <f t="shared" si="48"/>
        <v>0</v>
      </c>
      <c r="I679" s="138">
        <v>1</v>
      </c>
      <c r="J679" s="145">
        <f t="shared" si="46"/>
        <v>1</v>
      </c>
      <c r="K679" s="146">
        <f t="shared" si="47"/>
        <v>0</v>
      </c>
    </row>
    <row r="680" spans="1:11">
      <c r="A680" s="138">
        <f t="shared" si="44"/>
        <v>2.6360760000000001</v>
      </c>
      <c r="B680" s="138">
        <v>2636.076</v>
      </c>
      <c r="C680" s="138">
        <v>91.68</v>
      </c>
      <c r="D680" s="138">
        <v>8.32</v>
      </c>
      <c r="E680" s="138">
        <v>92.257999999999996</v>
      </c>
      <c r="F680" s="138">
        <v>7.742</v>
      </c>
      <c r="G680" s="138">
        <f t="shared" si="45"/>
        <v>91.68</v>
      </c>
      <c r="H680" s="148">
        <f t="shared" si="48"/>
        <v>0</v>
      </c>
      <c r="I680" s="138">
        <v>1</v>
      </c>
      <c r="J680" s="145">
        <f t="shared" si="46"/>
        <v>1</v>
      </c>
      <c r="K680" s="146">
        <f t="shared" si="47"/>
        <v>0</v>
      </c>
    </row>
    <row r="681" spans="1:11">
      <c r="A681" s="138">
        <f t="shared" si="44"/>
        <v>2.6392410000000002</v>
      </c>
      <c r="B681" s="138">
        <v>2639.241</v>
      </c>
      <c r="C681" s="138">
        <v>91.65</v>
      </c>
      <c r="D681" s="138">
        <v>8.35</v>
      </c>
      <c r="E681" s="138">
        <v>92.231999999999999</v>
      </c>
      <c r="F681" s="138">
        <v>7.7679999999999998</v>
      </c>
      <c r="G681" s="138">
        <f t="shared" si="45"/>
        <v>91.65</v>
      </c>
      <c r="H681" s="148">
        <f t="shared" si="48"/>
        <v>0</v>
      </c>
      <c r="I681" s="138">
        <v>1</v>
      </c>
      <c r="J681" s="145">
        <f t="shared" si="46"/>
        <v>1</v>
      </c>
      <c r="K681" s="146">
        <f t="shared" si="47"/>
        <v>0</v>
      </c>
    </row>
    <row r="682" spans="1:11">
      <c r="A682" s="138">
        <f t="shared" si="44"/>
        <v>2.6424050000000001</v>
      </c>
      <c r="B682" s="138">
        <v>2642.4050000000002</v>
      </c>
      <c r="C682" s="138">
        <v>91.62</v>
      </c>
      <c r="D682" s="138">
        <v>8.3800000000000008</v>
      </c>
      <c r="E682" s="138">
        <v>92.206000000000003</v>
      </c>
      <c r="F682" s="138">
        <v>7.7939999999999996</v>
      </c>
      <c r="G682" s="138">
        <f t="shared" si="45"/>
        <v>91.62</v>
      </c>
      <c r="H682" s="148">
        <f t="shared" si="48"/>
        <v>0</v>
      </c>
      <c r="I682" s="138">
        <v>1</v>
      </c>
      <c r="J682" s="145">
        <f t="shared" si="46"/>
        <v>1</v>
      </c>
      <c r="K682" s="146">
        <f t="shared" si="47"/>
        <v>0</v>
      </c>
    </row>
    <row r="683" spans="1:11">
      <c r="A683" s="138">
        <f t="shared" si="44"/>
        <v>2.6455700000000002</v>
      </c>
      <c r="B683" s="138">
        <v>2645.57</v>
      </c>
      <c r="C683" s="138">
        <v>91.59</v>
      </c>
      <c r="D683" s="138">
        <v>8.41</v>
      </c>
      <c r="E683" s="138">
        <v>92.180999999999997</v>
      </c>
      <c r="F683" s="138">
        <v>7.819</v>
      </c>
      <c r="G683" s="138">
        <f t="shared" si="45"/>
        <v>91.59</v>
      </c>
      <c r="H683" s="148">
        <f t="shared" si="48"/>
        <v>0</v>
      </c>
      <c r="I683" s="138">
        <v>1</v>
      </c>
      <c r="J683" s="145">
        <f t="shared" si="46"/>
        <v>1</v>
      </c>
      <c r="K683" s="146">
        <f t="shared" si="47"/>
        <v>0</v>
      </c>
    </row>
    <row r="684" spans="1:11">
      <c r="A684" s="138">
        <f t="shared" si="44"/>
        <v>2.6487340000000001</v>
      </c>
      <c r="B684" s="138">
        <v>2648.7339999999999</v>
      </c>
      <c r="C684" s="138">
        <v>91.56</v>
      </c>
      <c r="D684" s="138">
        <v>8.44</v>
      </c>
      <c r="E684" s="138">
        <v>92.155000000000001</v>
      </c>
      <c r="F684" s="138">
        <v>7.8449999999999998</v>
      </c>
      <c r="G684" s="138">
        <f t="shared" si="45"/>
        <v>91.56</v>
      </c>
      <c r="H684" s="148">
        <f t="shared" si="48"/>
        <v>0</v>
      </c>
      <c r="I684" s="138">
        <v>1</v>
      </c>
      <c r="J684" s="145">
        <f t="shared" si="46"/>
        <v>1</v>
      </c>
      <c r="K684" s="146">
        <f t="shared" si="47"/>
        <v>0</v>
      </c>
    </row>
    <row r="685" spans="1:11">
      <c r="A685" s="138">
        <f t="shared" si="44"/>
        <v>2.6518989999999998</v>
      </c>
      <c r="B685" s="138">
        <v>2651.8989999999999</v>
      </c>
      <c r="C685" s="138">
        <v>91.531000000000006</v>
      </c>
      <c r="D685" s="138">
        <v>8.4689999999999994</v>
      </c>
      <c r="E685" s="138">
        <v>92.129000000000005</v>
      </c>
      <c r="F685" s="138">
        <v>7.8710000000000004</v>
      </c>
      <c r="G685" s="138">
        <f t="shared" si="45"/>
        <v>91.531000000000006</v>
      </c>
      <c r="H685" s="148">
        <f t="shared" si="48"/>
        <v>0</v>
      </c>
      <c r="I685" s="138">
        <v>1</v>
      </c>
      <c r="J685" s="145">
        <f t="shared" si="46"/>
        <v>1</v>
      </c>
      <c r="K685" s="146">
        <f t="shared" si="47"/>
        <v>0</v>
      </c>
    </row>
    <row r="686" spans="1:11">
      <c r="A686" s="138">
        <f t="shared" si="44"/>
        <v>2.6550630000000002</v>
      </c>
      <c r="B686" s="138">
        <v>2655.0630000000001</v>
      </c>
      <c r="C686" s="138">
        <v>91.501000000000005</v>
      </c>
      <c r="D686" s="138">
        <v>8.4990000000000006</v>
      </c>
      <c r="E686" s="138">
        <v>92.103999999999999</v>
      </c>
      <c r="F686" s="138">
        <v>7.8959999999999999</v>
      </c>
      <c r="G686" s="138">
        <f t="shared" si="45"/>
        <v>91.501000000000005</v>
      </c>
      <c r="H686" s="148">
        <f t="shared" si="48"/>
        <v>0</v>
      </c>
      <c r="I686" s="138">
        <v>1</v>
      </c>
      <c r="J686" s="145">
        <f t="shared" si="46"/>
        <v>1</v>
      </c>
      <c r="K686" s="146">
        <f t="shared" si="47"/>
        <v>0</v>
      </c>
    </row>
    <row r="687" spans="1:11">
      <c r="A687" s="138">
        <f t="shared" si="44"/>
        <v>2.6582280000000003</v>
      </c>
      <c r="B687" s="138">
        <v>2658.2280000000001</v>
      </c>
      <c r="C687" s="138">
        <v>91.471000000000004</v>
      </c>
      <c r="D687" s="138">
        <v>8.5289999999999999</v>
      </c>
      <c r="E687" s="138">
        <v>92.078000000000003</v>
      </c>
      <c r="F687" s="138">
        <v>7.9219999999999997</v>
      </c>
      <c r="G687" s="138">
        <f t="shared" si="45"/>
        <v>91.471000000000004</v>
      </c>
      <c r="H687" s="148">
        <f t="shared" si="48"/>
        <v>0</v>
      </c>
      <c r="I687" s="138">
        <v>1</v>
      </c>
      <c r="J687" s="145">
        <f t="shared" si="46"/>
        <v>1</v>
      </c>
      <c r="K687" s="146">
        <f t="shared" si="47"/>
        <v>0</v>
      </c>
    </row>
    <row r="688" spans="1:11">
      <c r="A688" s="138">
        <f t="shared" si="44"/>
        <v>2.6613919999999998</v>
      </c>
      <c r="B688" s="138">
        <v>2661.3919999999998</v>
      </c>
      <c r="C688" s="138">
        <v>91.441999999999993</v>
      </c>
      <c r="D688" s="138">
        <v>8.5579999999999998</v>
      </c>
      <c r="E688" s="138">
        <v>92.052999999999997</v>
      </c>
      <c r="F688" s="138">
        <v>7.9470000000000001</v>
      </c>
      <c r="G688" s="138">
        <f t="shared" si="45"/>
        <v>91.441999999999993</v>
      </c>
      <c r="H688" s="148">
        <f t="shared" si="48"/>
        <v>0</v>
      </c>
      <c r="I688" s="138">
        <v>1</v>
      </c>
      <c r="J688" s="145">
        <f t="shared" si="46"/>
        <v>1</v>
      </c>
      <c r="K688" s="146">
        <f t="shared" si="47"/>
        <v>0</v>
      </c>
    </row>
    <row r="689" spans="1:11">
      <c r="A689" s="138">
        <f t="shared" si="44"/>
        <v>2.6645569999999998</v>
      </c>
      <c r="B689" s="138">
        <v>2664.5569999999998</v>
      </c>
      <c r="C689" s="138">
        <v>91.412000000000006</v>
      </c>
      <c r="D689" s="138">
        <v>8.5879999999999992</v>
      </c>
      <c r="E689" s="138">
        <v>92.027000000000001</v>
      </c>
      <c r="F689" s="138">
        <v>7.9729999999999999</v>
      </c>
      <c r="G689" s="138">
        <f t="shared" si="45"/>
        <v>91.412000000000006</v>
      </c>
      <c r="H689" s="148">
        <f t="shared" si="48"/>
        <v>0</v>
      </c>
      <c r="I689" s="138">
        <v>1</v>
      </c>
      <c r="J689" s="145">
        <f t="shared" si="46"/>
        <v>1</v>
      </c>
      <c r="K689" s="146">
        <f t="shared" si="47"/>
        <v>0</v>
      </c>
    </row>
    <row r="690" spans="1:11">
      <c r="A690" s="138">
        <f t="shared" si="44"/>
        <v>2.6677220000000004</v>
      </c>
      <c r="B690" s="138">
        <v>2667.7220000000002</v>
      </c>
      <c r="C690" s="138">
        <v>91.382999999999996</v>
      </c>
      <c r="D690" s="138">
        <v>8.6170000000000009</v>
      </c>
      <c r="E690" s="138">
        <v>92.001999999999995</v>
      </c>
      <c r="F690" s="138">
        <v>7.9980000000000002</v>
      </c>
      <c r="G690" s="138">
        <f t="shared" si="45"/>
        <v>91.382999999999996</v>
      </c>
      <c r="H690" s="148">
        <f t="shared" si="48"/>
        <v>0</v>
      </c>
      <c r="I690" s="138">
        <v>1</v>
      </c>
      <c r="J690" s="145">
        <f t="shared" si="46"/>
        <v>1</v>
      </c>
      <c r="K690" s="146">
        <f t="shared" si="47"/>
        <v>0</v>
      </c>
    </row>
    <row r="691" spans="1:11">
      <c r="A691" s="138">
        <f t="shared" si="44"/>
        <v>2.6708859999999999</v>
      </c>
      <c r="B691" s="138">
        <v>2670.886</v>
      </c>
      <c r="C691" s="138">
        <v>91.352999999999994</v>
      </c>
      <c r="D691" s="138">
        <v>8.6470000000000002</v>
      </c>
      <c r="E691" s="138">
        <v>91.975999999999999</v>
      </c>
      <c r="F691" s="138">
        <v>8.0239999999999991</v>
      </c>
      <c r="G691" s="138">
        <f t="shared" si="45"/>
        <v>91.352999999999994</v>
      </c>
      <c r="H691" s="148">
        <f t="shared" si="48"/>
        <v>0</v>
      </c>
      <c r="I691" s="138">
        <v>1</v>
      </c>
      <c r="J691" s="145">
        <f t="shared" si="46"/>
        <v>1</v>
      </c>
      <c r="K691" s="146">
        <f t="shared" si="47"/>
        <v>0</v>
      </c>
    </row>
    <row r="692" spans="1:11">
      <c r="A692" s="138">
        <f t="shared" si="44"/>
        <v>2.674051</v>
      </c>
      <c r="B692" s="138">
        <v>2674.0509999999999</v>
      </c>
      <c r="C692" s="138">
        <v>91.323999999999998</v>
      </c>
      <c r="D692" s="138">
        <v>8.6760000000000002</v>
      </c>
      <c r="E692" s="138">
        <v>91.950999999999993</v>
      </c>
      <c r="F692" s="138">
        <v>8.0489999999999995</v>
      </c>
      <c r="G692" s="138">
        <f t="shared" si="45"/>
        <v>91.323999999999998</v>
      </c>
      <c r="H692" s="148">
        <f t="shared" si="48"/>
        <v>0</v>
      </c>
      <c r="I692" s="138">
        <v>1</v>
      </c>
      <c r="J692" s="145">
        <f t="shared" si="46"/>
        <v>1</v>
      </c>
      <c r="K692" s="146">
        <f t="shared" si="47"/>
        <v>0</v>
      </c>
    </row>
    <row r="693" spans="1:11">
      <c r="A693" s="138">
        <f t="shared" si="44"/>
        <v>2.6772150000000003</v>
      </c>
      <c r="B693" s="138">
        <v>2677.2150000000001</v>
      </c>
      <c r="C693" s="138">
        <v>91.295000000000002</v>
      </c>
      <c r="D693" s="138">
        <v>8.7050000000000001</v>
      </c>
      <c r="E693" s="138">
        <v>91.926000000000002</v>
      </c>
      <c r="F693" s="138">
        <v>8.0739999999999998</v>
      </c>
      <c r="G693" s="138">
        <f t="shared" si="45"/>
        <v>91.295000000000002</v>
      </c>
      <c r="H693" s="148">
        <f t="shared" si="48"/>
        <v>0</v>
      </c>
      <c r="I693" s="138">
        <v>1</v>
      </c>
      <c r="J693" s="145">
        <f t="shared" si="46"/>
        <v>1</v>
      </c>
      <c r="K693" s="146">
        <f t="shared" si="47"/>
        <v>0</v>
      </c>
    </row>
    <row r="694" spans="1:11">
      <c r="A694" s="138">
        <f t="shared" si="44"/>
        <v>2.68038</v>
      </c>
      <c r="B694" s="138">
        <v>2680.38</v>
      </c>
      <c r="C694" s="138">
        <v>91.266000000000005</v>
      </c>
      <c r="D694" s="138">
        <v>8.734</v>
      </c>
      <c r="E694" s="138">
        <v>91.900999999999996</v>
      </c>
      <c r="F694" s="138">
        <v>8.0990000000000002</v>
      </c>
      <c r="G694" s="138">
        <f t="shared" si="45"/>
        <v>91.266000000000005</v>
      </c>
      <c r="H694" s="148">
        <f t="shared" si="48"/>
        <v>0</v>
      </c>
      <c r="I694" s="138">
        <v>1</v>
      </c>
      <c r="J694" s="145">
        <f t="shared" si="46"/>
        <v>1</v>
      </c>
      <c r="K694" s="146">
        <f t="shared" si="47"/>
        <v>0</v>
      </c>
    </row>
    <row r="695" spans="1:11">
      <c r="A695" s="138">
        <f t="shared" si="44"/>
        <v>2.6835439999999999</v>
      </c>
      <c r="B695" s="138">
        <v>2683.5439999999999</v>
      </c>
      <c r="C695" s="138">
        <v>91.236000000000004</v>
      </c>
      <c r="D695" s="138">
        <v>8.7639999999999993</v>
      </c>
      <c r="E695" s="138">
        <v>91.875</v>
      </c>
      <c r="F695" s="138">
        <v>8.125</v>
      </c>
      <c r="G695" s="138">
        <f t="shared" si="45"/>
        <v>91.236000000000004</v>
      </c>
      <c r="H695" s="148">
        <f t="shared" si="48"/>
        <v>0</v>
      </c>
      <c r="I695" s="138">
        <v>1</v>
      </c>
      <c r="J695" s="145">
        <f t="shared" si="46"/>
        <v>1</v>
      </c>
      <c r="K695" s="146">
        <f t="shared" si="47"/>
        <v>0</v>
      </c>
    </row>
    <row r="696" spans="1:11">
      <c r="A696" s="138">
        <f t="shared" si="44"/>
        <v>2.686709</v>
      </c>
      <c r="B696" s="138">
        <v>2686.7089999999998</v>
      </c>
      <c r="C696" s="138">
        <v>91.206999999999994</v>
      </c>
      <c r="D696" s="138">
        <v>8.7929999999999993</v>
      </c>
      <c r="E696" s="138">
        <v>91.85</v>
      </c>
      <c r="F696" s="138">
        <v>8.15</v>
      </c>
      <c r="G696" s="138">
        <f t="shared" si="45"/>
        <v>91.206999999999994</v>
      </c>
      <c r="H696" s="148">
        <f t="shared" si="48"/>
        <v>0</v>
      </c>
      <c r="I696" s="138">
        <v>1</v>
      </c>
      <c r="J696" s="145">
        <f t="shared" si="46"/>
        <v>1</v>
      </c>
      <c r="K696" s="146">
        <f t="shared" si="47"/>
        <v>0</v>
      </c>
    </row>
    <row r="697" spans="1:11">
      <c r="A697" s="138">
        <f t="shared" si="44"/>
        <v>2.689873</v>
      </c>
      <c r="B697" s="138">
        <v>2689.873</v>
      </c>
      <c r="C697" s="138">
        <v>91.177999999999997</v>
      </c>
      <c r="D697" s="138">
        <v>8.8219999999999992</v>
      </c>
      <c r="E697" s="138">
        <v>91.825000000000003</v>
      </c>
      <c r="F697" s="138">
        <v>8.1750000000000007</v>
      </c>
      <c r="G697" s="138">
        <f t="shared" si="45"/>
        <v>91.177999999999997</v>
      </c>
      <c r="H697" s="148">
        <f t="shared" si="48"/>
        <v>0</v>
      </c>
      <c r="I697" s="138">
        <v>1</v>
      </c>
      <c r="J697" s="145">
        <f t="shared" si="46"/>
        <v>1</v>
      </c>
      <c r="K697" s="146">
        <f t="shared" si="47"/>
        <v>0</v>
      </c>
    </row>
    <row r="698" spans="1:11">
      <c r="A698" s="138">
        <f t="shared" si="44"/>
        <v>2.693038</v>
      </c>
      <c r="B698" s="138">
        <v>2693.038</v>
      </c>
      <c r="C698" s="138">
        <v>91.149000000000001</v>
      </c>
      <c r="D698" s="138">
        <v>8.8510000000000009</v>
      </c>
      <c r="E698" s="138">
        <v>91.8</v>
      </c>
      <c r="F698" s="138">
        <v>8.1999999999999993</v>
      </c>
      <c r="G698" s="138">
        <f t="shared" si="45"/>
        <v>91.149000000000001</v>
      </c>
      <c r="H698" s="148">
        <f t="shared" si="48"/>
        <v>0</v>
      </c>
      <c r="I698" s="138">
        <v>1</v>
      </c>
      <c r="J698" s="145">
        <f t="shared" si="46"/>
        <v>1</v>
      </c>
      <c r="K698" s="146">
        <f t="shared" si="47"/>
        <v>0</v>
      </c>
    </row>
    <row r="699" spans="1:11">
      <c r="A699" s="138">
        <f t="shared" si="44"/>
        <v>2.6962030000000001</v>
      </c>
      <c r="B699" s="138">
        <v>2696.203</v>
      </c>
      <c r="C699" s="138">
        <v>91.12</v>
      </c>
      <c r="D699" s="138">
        <v>8.8800000000000008</v>
      </c>
      <c r="E699" s="138">
        <v>91.775000000000006</v>
      </c>
      <c r="F699" s="138">
        <v>8.2249999999999996</v>
      </c>
      <c r="G699" s="138">
        <f t="shared" si="45"/>
        <v>91.12</v>
      </c>
      <c r="H699" s="148">
        <f t="shared" si="48"/>
        <v>0</v>
      </c>
      <c r="I699" s="138">
        <v>1</v>
      </c>
      <c r="J699" s="145">
        <f t="shared" si="46"/>
        <v>1</v>
      </c>
      <c r="K699" s="146">
        <f t="shared" si="47"/>
        <v>0</v>
      </c>
    </row>
    <row r="700" spans="1:11">
      <c r="A700" s="138">
        <f t="shared" si="44"/>
        <v>2.6993670000000001</v>
      </c>
      <c r="B700" s="138">
        <v>2699.3670000000002</v>
      </c>
      <c r="C700" s="138">
        <v>91.090999999999994</v>
      </c>
      <c r="D700" s="138">
        <v>8.9090000000000007</v>
      </c>
      <c r="E700" s="138">
        <v>91.75</v>
      </c>
      <c r="F700" s="138">
        <v>8.25</v>
      </c>
      <c r="G700" s="138">
        <f t="shared" si="45"/>
        <v>91.090999999999994</v>
      </c>
      <c r="H700" s="148">
        <f t="shared" si="48"/>
        <v>0</v>
      </c>
      <c r="I700" s="138">
        <v>1</v>
      </c>
      <c r="J700" s="145">
        <f t="shared" si="46"/>
        <v>1</v>
      </c>
      <c r="K700" s="146">
        <f t="shared" si="47"/>
        <v>0</v>
      </c>
    </row>
    <row r="701" spans="1:11">
      <c r="A701" s="138">
        <f t="shared" si="44"/>
        <v>2.7025320000000002</v>
      </c>
      <c r="B701" s="138">
        <v>2702.5320000000002</v>
      </c>
      <c r="C701" s="138">
        <v>91.063000000000002</v>
      </c>
      <c r="D701" s="138">
        <v>8.9369999999999994</v>
      </c>
      <c r="E701" s="138">
        <v>91.724999999999994</v>
      </c>
      <c r="F701" s="138">
        <v>8.2750000000000004</v>
      </c>
      <c r="G701" s="138">
        <f t="shared" si="45"/>
        <v>91.063000000000002</v>
      </c>
      <c r="H701" s="148">
        <f t="shared" si="48"/>
        <v>0</v>
      </c>
      <c r="I701" s="138">
        <v>1</v>
      </c>
      <c r="J701" s="145">
        <f t="shared" si="46"/>
        <v>1</v>
      </c>
      <c r="K701" s="146">
        <f t="shared" si="47"/>
        <v>0</v>
      </c>
    </row>
    <row r="702" spans="1:11">
      <c r="A702" s="138">
        <f t="shared" si="44"/>
        <v>2.7056960000000001</v>
      </c>
      <c r="B702" s="138">
        <v>2705.6959999999999</v>
      </c>
      <c r="C702" s="138">
        <v>91.034000000000006</v>
      </c>
      <c r="D702" s="138">
        <v>8.9659999999999993</v>
      </c>
      <c r="E702" s="138">
        <v>91.7</v>
      </c>
      <c r="F702" s="138">
        <v>8.3000000000000007</v>
      </c>
      <c r="G702" s="138">
        <f t="shared" si="45"/>
        <v>91.034000000000006</v>
      </c>
      <c r="H702" s="148">
        <f t="shared" si="48"/>
        <v>0</v>
      </c>
      <c r="I702" s="138">
        <v>1</v>
      </c>
      <c r="J702" s="145">
        <f t="shared" si="46"/>
        <v>1</v>
      </c>
      <c r="K702" s="146">
        <f t="shared" si="47"/>
        <v>0</v>
      </c>
    </row>
    <row r="703" spans="1:11">
      <c r="A703" s="138">
        <f t="shared" si="44"/>
        <v>2.7088609999999997</v>
      </c>
      <c r="B703" s="138">
        <v>2708.8609999999999</v>
      </c>
      <c r="C703" s="138">
        <v>91.004999999999995</v>
      </c>
      <c r="D703" s="138">
        <v>8.9949999999999992</v>
      </c>
      <c r="E703" s="138">
        <v>91.674999999999997</v>
      </c>
      <c r="F703" s="138">
        <v>8.3249999999999993</v>
      </c>
      <c r="G703" s="138">
        <f t="shared" si="45"/>
        <v>91.004999999999995</v>
      </c>
      <c r="H703" s="148">
        <f t="shared" si="48"/>
        <v>0</v>
      </c>
      <c r="I703" s="138">
        <v>1</v>
      </c>
      <c r="J703" s="145">
        <f t="shared" si="46"/>
        <v>1</v>
      </c>
      <c r="K703" s="146">
        <f t="shared" si="47"/>
        <v>0</v>
      </c>
    </row>
    <row r="704" spans="1:11">
      <c r="A704" s="138">
        <f t="shared" si="44"/>
        <v>2.7120250000000001</v>
      </c>
      <c r="B704" s="138">
        <v>2712.0250000000001</v>
      </c>
      <c r="C704" s="138">
        <v>90.975999999999999</v>
      </c>
      <c r="D704" s="138">
        <v>9.0239999999999991</v>
      </c>
      <c r="E704" s="138">
        <v>91.650999999999996</v>
      </c>
      <c r="F704" s="138">
        <v>8.3490000000000002</v>
      </c>
      <c r="G704" s="138">
        <f t="shared" si="45"/>
        <v>90.975999999999999</v>
      </c>
      <c r="H704" s="148">
        <f t="shared" si="48"/>
        <v>0</v>
      </c>
      <c r="I704" s="138">
        <v>1</v>
      </c>
      <c r="J704" s="145">
        <f t="shared" si="46"/>
        <v>1</v>
      </c>
      <c r="K704" s="146">
        <f t="shared" si="47"/>
        <v>0</v>
      </c>
    </row>
    <row r="705" spans="1:11">
      <c r="A705" s="138">
        <f t="shared" si="44"/>
        <v>2.7151900000000002</v>
      </c>
      <c r="B705" s="138">
        <v>2715.19</v>
      </c>
      <c r="C705" s="138">
        <v>90.947999999999993</v>
      </c>
      <c r="D705" s="138">
        <v>9.0519999999999996</v>
      </c>
      <c r="E705" s="138">
        <v>91.626000000000005</v>
      </c>
      <c r="F705" s="138">
        <v>8.3740000000000006</v>
      </c>
      <c r="G705" s="138">
        <f t="shared" si="45"/>
        <v>90.947999999999993</v>
      </c>
      <c r="H705" s="148">
        <f t="shared" si="48"/>
        <v>0</v>
      </c>
      <c r="I705" s="138">
        <v>1</v>
      </c>
      <c r="J705" s="145">
        <f t="shared" si="46"/>
        <v>1</v>
      </c>
      <c r="K705" s="146">
        <f t="shared" si="47"/>
        <v>0</v>
      </c>
    </row>
    <row r="706" spans="1:11">
      <c r="A706" s="138">
        <f t="shared" si="44"/>
        <v>2.7183539999999997</v>
      </c>
      <c r="B706" s="138">
        <v>2718.3539999999998</v>
      </c>
      <c r="C706" s="138">
        <v>90.918999999999997</v>
      </c>
      <c r="D706" s="138">
        <v>9.0809999999999995</v>
      </c>
      <c r="E706" s="138">
        <v>91.600999999999999</v>
      </c>
      <c r="F706" s="138">
        <v>8.3989999999999991</v>
      </c>
      <c r="G706" s="138">
        <f t="shared" si="45"/>
        <v>90.918999999999997</v>
      </c>
      <c r="H706" s="148">
        <f t="shared" si="48"/>
        <v>0</v>
      </c>
      <c r="I706" s="138">
        <v>1</v>
      </c>
      <c r="J706" s="145">
        <f t="shared" si="46"/>
        <v>1</v>
      </c>
      <c r="K706" s="146">
        <f t="shared" si="47"/>
        <v>0</v>
      </c>
    </row>
    <row r="707" spans="1:11">
      <c r="A707" s="138">
        <f t="shared" si="44"/>
        <v>2.7215189999999998</v>
      </c>
      <c r="B707" s="138">
        <v>2721.5189999999998</v>
      </c>
      <c r="C707" s="138">
        <v>90.89</v>
      </c>
      <c r="D707" s="138">
        <v>9.11</v>
      </c>
      <c r="E707" s="138">
        <v>91.575999999999993</v>
      </c>
      <c r="F707" s="138">
        <v>8.4239999999999995</v>
      </c>
      <c r="G707" s="138">
        <f t="shared" si="45"/>
        <v>90.89</v>
      </c>
      <c r="H707" s="148">
        <f t="shared" si="48"/>
        <v>0</v>
      </c>
      <c r="I707" s="138">
        <v>1</v>
      </c>
      <c r="J707" s="145">
        <f t="shared" si="46"/>
        <v>1</v>
      </c>
      <c r="K707" s="146">
        <f t="shared" si="47"/>
        <v>0</v>
      </c>
    </row>
    <row r="708" spans="1:11">
      <c r="A708" s="138">
        <f t="shared" si="44"/>
        <v>2.7246840000000003</v>
      </c>
      <c r="B708" s="138">
        <v>2724.6840000000002</v>
      </c>
      <c r="C708" s="138">
        <v>90.861999999999995</v>
      </c>
      <c r="D708" s="138">
        <v>9.1379999999999999</v>
      </c>
      <c r="E708" s="138">
        <v>91.552000000000007</v>
      </c>
      <c r="F708" s="138">
        <v>8.4480000000000004</v>
      </c>
      <c r="G708" s="138">
        <f t="shared" si="45"/>
        <v>90.861999999999995</v>
      </c>
      <c r="H708" s="148">
        <f t="shared" si="48"/>
        <v>0</v>
      </c>
      <c r="I708" s="138">
        <v>1</v>
      </c>
      <c r="J708" s="145">
        <f t="shared" si="46"/>
        <v>1</v>
      </c>
      <c r="K708" s="146">
        <f t="shared" si="47"/>
        <v>0</v>
      </c>
    </row>
    <row r="709" spans="1:11">
      <c r="A709" s="138">
        <f t="shared" si="44"/>
        <v>2.7278479999999998</v>
      </c>
      <c r="B709" s="138">
        <v>2727.848</v>
      </c>
      <c r="C709" s="138">
        <v>90.834000000000003</v>
      </c>
      <c r="D709" s="138">
        <v>9.1660000000000004</v>
      </c>
      <c r="E709" s="138">
        <v>91.527000000000001</v>
      </c>
      <c r="F709" s="138">
        <v>8.4730000000000008</v>
      </c>
      <c r="G709" s="138">
        <f t="shared" si="45"/>
        <v>90.834000000000003</v>
      </c>
      <c r="H709" s="148">
        <f t="shared" si="48"/>
        <v>0</v>
      </c>
      <c r="I709" s="138">
        <v>1</v>
      </c>
      <c r="J709" s="145">
        <f t="shared" si="46"/>
        <v>1</v>
      </c>
      <c r="K709" s="146">
        <f t="shared" si="47"/>
        <v>0</v>
      </c>
    </row>
    <row r="710" spans="1:11">
      <c r="A710" s="138">
        <f t="shared" ref="A710:A773" si="49">B710/1000</f>
        <v>2.7310129999999999</v>
      </c>
      <c r="B710" s="138">
        <v>2731.0129999999999</v>
      </c>
      <c r="C710" s="138">
        <v>90.805000000000007</v>
      </c>
      <c r="D710" s="138">
        <v>9.1950000000000003</v>
      </c>
      <c r="E710" s="138">
        <v>91.503</v>
      </c>
      <c r="F710" s="138">
        <v>8.4969999999999999</v>
      </c>
      <c r="G710" s="138">
        <f t="shared" ref="G710:G773" si="50">MIN(C710,E710)</f>
        <v>90.805000000000007</v>
      </c>
      <c r="H710" s="148">
        <f t="shared" si="48"/>
        <v>0</v>
      </c>
      <c r="I710" s="138">
        <v>1</v>
      </c>
      <c r="J710" s="145">
        <f t="shared" ref="J710:J773" si="51">MIN(B710/1000*$M$1+$O$1,1)</f>
        <v>1</v>
      </c>
      <c r="K710" s="146">
        <f t="shared" si="47"/>
        <v>0</v>
      </c>
    </row>
    <row r="711" spans="1:11">
      <c r="A711" s="138">
        <f t="shared" si="49"/>
        <v>2.7341770000000003</v>
      </c>
      <c r="B711" s="138">
        <v>2734.1770000000001</v>
      </c>
      <c r="C711" s="138">
        <v>90.777000000000001</v>
      </c>
      <c r="D711" s="138">
        <v>9.2230000000000008</v>
      </c>
      <c r="E711" s="138">
        <v>91.477999999999994</v>
      </c>
      <c r="F711" s="138">
        <v>8.5220000000000002</v>
      </c>
      <c r="G711" s="138">
        <f t="shared" si="50"/>
        <v>90.777000000000001</v>
      </c>
      <c r="H711" s="148">
        <f t="shared" si="48"/>
        <v>0</v>
      </c>
      <c r="I711" s="138">
        <v>1</v>
      </c>
      <c r="J711" s="145">
        <f t="shared" si="51"/>
        <v>1</v>
      </c>
      <c r="K711" s="146">
        <f t="shared" ref="K711:K774" si="52">G711*H711*I711*J711*$G$2/100</f>
        <v>0</v>
      </c>
    </row>
    <row r="712" spans="1:11">
      <c r="A712" s="138">
        <f t="shared" si="49"/>
        <v>2.7373419999999999</v>
      </c>
      <c r="B712" s="138">
        <v>2737.3420000000001</v>
      </c>
      <c r="C712" s="138">
        <v>90.748999999999995</v>
      </c>
      <c r="D712" s="138">
        <v>9.2509999999999994</v>
      </c>
      <c r="E712" s="138">
        <v>91.453999999999994</v>
      </c>
      <c r="F712" s="138">
        <v>8.5459999999999994</v>
      </c>
      <c r="G712" s="138">
        <f t="shared" si="50"/>
        <v>90.748999999999995</v>
      </c>
      <c r="H712" s="148">
        <f t="shared" si="48"/>
        <v>0</v>
      </c>
      <c r="I712" s="138">
        <v>1</v>
      </c>
      <c r="J712" s="145">
        <f t="shared" si="51"/>
        <v>1</v>
      </c>
      <c r="K712" s="146">
        <f t="shared" si="52"/>
        <v>0</v>
      </c>
    </row>
    <row r="713" spans="1:11">
      <c r="A713" s="138">
        <f t="shared" si="49"/>
        <v>2.7405059999999999</v>
      </c>
      <c r="B713" s="138">
        <v>2740.5059999999999</v>
      </c>
      <c r="C713" s="138">
        <v>90.72</v>
      </c>
      <c r="D713" s="138">
        <v>9.2799999999999994</v>
      </c>
      <c r="E713" s="138">
        <v>91.429000000000002</v>
      </c>
      <c r="F713" s="138">
        <v>8.5709999999999997</v>
      </c>
      <c r="G713" s="138">
        <f t="shared" si="50"/>
        <v>90.72</v>
      </c>
      <c r="H713" s="148">
        <f t="shared" si="48"/>
        <v>0</v>
      </c>
      <c r="I713" s="138">
        <v>1</v>
      </c>
      <c r="J713" s="145">
        <f t="shared" si="51"/>
        <v>1</v>
      </c>
      <c r="K713" s="146">
        <f t="shared" si="52"/>
        <v>0</v>
      </c>
    </row>
    <row r="714" spans="1:11">
      <c r="A714" s="138">
        <f t="shared" si="49"/>
        <v>2.743671</v>
      </c>
      <c r="B714" s="138">
        <v>2743.6709999999998</v>
      </c>
      <c r="C714" s="138">
        <v>90.691999999999993</v>
      </c>
      <c r="D714" s="138">
        <v>9.3079999999999998</v>
      </c>
      <c r="E714" s="138">
        <v>91.405000000000001</v>
      </c>
      <c r="F714" s="138">
        <v>8.5950000000000006</v>
      </c>
      <c r="G714" s="138">
        <f t="shared" si="50"/>
        <v>90.691999999999993</v>
      </c>
      <c r="H714" s="148">
        <f t="shared" si="48"/>
        <v>0</v>
      </c>
      <c r="I714" s="138">
        <v>1</v>
      </c>
      <c r="J714" s="145">
        <f t="shared" si="51"/>
        <v>1</v>
      </c>
      <c r="K714" s="146">
        <f t="shared" si="52"/>
        <v>0</v>
      </c>
    </row>
    <row r="715" spans="1:11">
      <c r="A715" s="138">
        <f t="shared" si="49"/>
        <v>2.7468349999999999</v>
      </c>
      <c r="B715" s="138">
        <v>2746.835</v>
      </c>
      <c r="C715" s="138">
        <v>90.664000000000001</v>
      </c>
      <c r="D715" s="138">
        <v>9.3360000000000003</v>
      </c>
      <c r="E715" s="138">
        <v>91.381</v>
      </c>
      <c r="F715" s="138">
        <v>8.6189999999999998</v>
      </c>
      <c r="G715" s="138">
        <f t="shared" si="50"/>
        <v>90.664000000000001</v>
      </c>
      <c r="H715" s="148">
        <f t="shared" si="48"/>
        <v>0</v>
      </c>
      <c r="I715" s="138">
        <v>1</v>
      </c>
      <c r="J715" s="145">
        <f t="shared" si="51"/>
        <v>1</v>
      </c>
      <c r="K715" s="146">
        <f t="shared" si="52"/>
        <v>0</v>
      </c>
    </row>
    <row r="716" spans="1:11">
      <c r="A716" s="138">
        <f t="shared" si="49"/>
        <v>2.75</v>
      </c>
      <c r="B716" s="138">
        <v>2750</v>
      </c>
      <c r="C716" s="138">
        <v>90.635999999999996</v>
      </c>
      <c r="D716" s="138">
        <v>9.3640000000000008</v>
      </c>
      <c r="E716" s="138">
        <v>91.356999999999999</v>
      </c>
      <c r="F716" s="138">
        <v>8.6430000000000007</v>
      </c>
      <c r="G716" s="138">
        <f t="shared" si="50"/>
        <v>90.635999999999996</v>
      </c>
      <c r="H716" s="148">
        <f t="shared" si="48"/>
        <v>0</v>
      </c>
      <c r="I716" s="138">
        <v>1</v>
      </c>
      <c r="J716" s="145">
        <f t="shared" si="51"/>
        <v>1</v>
      </c>
      <c r="K716" s="146">
        <f t="shared" si="52"/>
        <v>0</v>
      </c>
    </row>
    <row r="717" spans="1:11">
      <c r="A717" s="138">
        <f t="shared" si="49"/>
        <v>2.7531650000000001</v>
      </c>
      <c r="B717" s="138">
        <v>2753.165</v>
      </c>
      <c r="C717" s="138">
        <v>90.608000000000004</v>
      </c>
      <c r="D717" s="138">
        <v>9.3919999999999995</v>
      </c>
      <c r="E717" s="138">
        <v>91.331999999999994</v>
      </c>
      <c r="F717" s="138">
        <v>8.6679999999999993</v>
      </c>
      <c r="G717" s="138">
        <f t="shared" si="50"/>
        <v>90.608000000000004</v>
      </c>
      <c r="H717" s="148">
        <f t="shared" si="48"/>
        <v>0</v>
      </c>
      <c r="I717" s="138">
        <v>1</v>
      </c>
      <c r="J717" s="145">
        <f t="shared" si="51"/>
        <v>1</v>
      </c>
      <c r="K717" s="146">
        <f t="shared" si="52"/>
        <v>0</v>
      </c>
    </row>
    <row r="718" spans="1:11">
      <c r="A718" s="138">
        <f t="shared" si="49"/>
        <v>2.756329</v>
      </c>
      <c r="B718" s="138">
        <v>2756.3290000000002</v>
      </c>
      <c r="C718" s="138">
        <v>90.58</v>
      </c>
      <c r="D718" s="138">
        <v>9.42</v>
      </c>
      <c r="E718" s="138">
        <v>91.308000000000007</v>
      </c>
      <c r="F718" s="138">
        <v>8.6920000000000002</v>
      </c>
      <c r="G718" s="138">
        <f t="shared" si="50"/>
        <v>90.58</v>
      </c>
      <c r="H718" s="148">
        <f t="shared" si="48"/>
        <v>0</v>
      </c>
      <c r="I718" s="138">
        <v>1</v>
      </c>
      <c r="J718" s="145">
        <f t="shared" si="51"/>
        <v>1</v>
      </c>
      <c r="K718" s="146">
        <f t="shared" si="52"/>
        <v>0</v>
      </c>
    </row>
    <row r="719" spans="1:11">
      <c r="A719" s="138">
        <f t="shared" si="49"/>
        <v>2.7594940000000001</v>
      </c>
      <c r="B719" s="138">
        <v>2759.4940000000001</v>
      </c>
      <c r="C719" s="138">
        <v>90.552000000000007</v>
      </c>
      <c r="D719" s="138">
        <v>9.4480000000000004</v>
      </c>
      <c r="E719" s="138">
        <v>91.284000000000006</v>
      </c>
      <c r="F719" s="138">
        <v>8.7159999999999993</v>
      </c>
      <c r="G719" s="138">
        <f t="shared" si="50"/>
        <v>90.552000000000007</v>
      </c>
      <c r="H719" s="148">
        <f t="shared" si="48"/>
        <v>0</v>
      </c>
      <c r="I719" s="138">
        <v>1</v>
      </c>
      <c r="J719" s="145">
        <f t="shared" si="51"/>
        <v>1</v>
      </c>
      <c r="K719" s="146">
        <f t="shared" si="52"/>
        <v>0</v>
      </c>
    </row>
    <row r="720" spans="1:11">
      <c r="A720" s="138">
        <f t="shared" si="49"/>
        <v>2.7626580000000001</v>
      </c>
      <c r="B720" s="138">
        <v>2762.6579999999999</v>
      </c>
      <c r="C720" s="138">
        <v>90.524000000000001</v>
      </c>
      <c r="D720" s="138">
        <v>9.4760000000000009</v>
      </c>
      <c r="E720" s="138">
        <v>91.26</v>
      </c>
      <c r="F720" s="138">
        <v>8.74</v>
      </c>
      <c r="G720" s="138">
        <f t="shared" si="50"/>
        <v>90.524000000000001</v>
      </c>
      <c r="H720" s="148">
        <f t="shared" si="48"/>
        <v>0</v>
      </c>
      <c r="I720" s="138">
        <v>1</v>
      </c>
      <c r="J720" s="145">
        <f t="shared" si="51"/>
        <v>1</v>
      </c>
      <c r="K720" s="146">
        <f t="shared" si="52"/>
        <v>0</v>
      </c>
    </row>
    <row r="721" spans="1:11">
      <c r="A721" s="138">
        <f t="shared" si="49"/>
        <v>2.7658229999999997</v>
      </c>
      <c r="B721" s="138">
        <v>2765.8229999999999</v>
      </c>
      <c r="C721" s="138">
        <v>90.497</v>
      </c>
      <c r="D721" s="138">
        <v>9.5030000000000001</v>
      </c>
      <c r="E721" s="138">
        <v>91.236000000000004</v>
      </c>
      <c r="F721" s="138">
        <v>8.7639999999999993</v>
      </c>
      <c r="G721" s="138">
        <f t="shared" si="50"/>
        <v>90.497</v>
      </c>
      <c r="H721" s="148">
        <f t="shared" si="48"/>
        <v>0</v>
      </c>
      <c r="I721" s="138">
        <v>1</v>
      </c>
      <c r="J721" s="145">
        <f t="shared" si="51"/>
        <v>1</v>
      </c>
      <c r="K721" s="146">
        <f t="shared" si="52"/>
        <v>0</v>
      </c>
    </row>
    <row r="722" spans="1:11">
      <c r="A722" s="138">
        <f t="shared" si="49"/>
        <v>2.7689870000000001</v>
      </c>
      <c r="B722" s="138">
        <v>2768.9870000000001</v>
      </c>
      <c r="C722" s="138">
        <v>90.468999999999994</v>
      </c>
      <c r="D722" s="138">
        <v>9.5310000000000006</v>
      </c>
      <c r="E722" s="138">
        <v>91.212000000000003</v>
      </c>
      <c r="F722" s="138">
        <v>8.7880000000000003</v>
      </c>
      <c r="G722" s="138">
        <f t="shared" si="50"/>
        <v>90.468999999999994</v>
      </c>
      <c r="H722" s="148">
        <f t="shared" si="48"/>
        <v>0</v>
      </c>
      <c r="I722" s="138">
        <v>1</v>
      </c>
      <c r="J722" s="145">
        <f t="shared" si="51"/>
        <v>1</v>
      </c>
      <c r="K722" s="146">
        <f t="shared" si="52"/>
        <v>0</v>
      </c>
    </row>
    <row r="723" spans="1:11">
      <c r="A723" s="138">
        <f t="shared" si="49"/>
        <v>2.7721520000000002</v>
      </c>
      <c r="B723" s="138">
        <v>2772.152</v>
      </c>
      <c r="C723" s="138">
        <v>90.441000000000003</v>
      </c>
      <c r="D723" s="138">
        <v>9.5589999999999993</v>
      </c>
      <c r="E723" s="138">
        <v>91.188000000000002</v>
      </c>
      <c r="F723" s="138">
        <v>8.8119999999999994</v>
      </c>
      <c r="G723" s="138">
        <f t="shared" si="50"/>
        <v>90.441000000000003</v>
      </c>
      <c r="H723" s="148">
        <f t="shared" si="48"/>
        <v>0</v>
      </c>
      <c r="I723" s="138">
        <v>1</v>
      </c>
      <c r="J723" s="145">
        <f t="shared" si="51"/>
        <v>1</v>
      </c>
      <c r="K723" s="146">
        <f t="shared" si="52"/>
        <v>0</v>
      </c>
    </row>
    <row r="724" spans="1:11">
      <c r="A724" s="138">
        <f t="shared" si="49"/>
        <v>2.7753159999999997</v>
      </c>
      <c r="B724" s="138">
        <v>2775.3159999999998</v>
      </c>
      <c r="C724" s="138">
        <v>90.414000000000001</v>
      </c>
      <c r="D724" s="138">
        <v>9.5860000000000003</v>
      </c>
      <c r="E724" s="138">
        <v>91.164000000000001</v>
      </c>
      <c r="F724" s="138">
        <v>8.8360000000000003</v>
      </c>
      <c r="G724" s="138">
        <f t="shared" si="50"/>
        <v>90.414000000000001</v>
      </c>
      <c r="H724" s="148">
        <f t="shared" si="48"/>
        <v>0</v>
      </c>
      <c r="I724" s="138">
        <v>1</v>
      </c>
      <c r="J724" s="145">
        <f t="shared" si="51"/>
        <v>1</v>
      </c>
      <c r="K724" s="146">
        <f t="shared" si="52"/>
        <v>0</v>
      </c>
    </row>
    <row r="725" spans="1:11">
      <c r="A725" s="138">
        <f t="shared" si="49"/>
        <v>2.7784810000000002</v>
      </c>
      <c r="B725" s="138">
        <v>2778.4810000000002</v>
      </c>
      <c r="C725" s="138">
        <v>90.385999999999996</v>
      </c>
      <c r="D725" s="138">
        <v>9.6140000000000008</v>
      </c>
      <c r="E725" s="138">
        <v>91.14</v>
      </c>
      <c r="F725" s="138">
        <v>8.86</v>
      </c>
      <c r="G725" s="138">
        <f t="shared" si="50"/>
        <v>90.385999999999996</v>
      </c>
      <c r="H725" s="148">
        <f t="shared" si="48"/>
        <v>0</v>
      </c>
      <c r="I725" s="138">
        <v>1</v>
      </c>
      <c r="J725" s="145">
        <f t="shared" si="51"/>
        <v>1</v>
      </c>
      <c r="K725" s="146">
        <f t="shared" si="52"/>
        <v>0</v>
      </c>
    </row>
    <row r="726" spans="1:11">
      <c r="A726" s="138">
        <f t="shared" si="49"/>
        <v>2.7816460000000003</v>
      </c>
      <c r="B726" s="138">
        <v>2781.6460000000002</v>
      </c>
      <c r="C726" s="138">
        <v>90.358000000000004</v>
      </c>
      <c r="D726" s="138">
        <v>9.6419999999999995</v>
      </c>
      <c r="E726" s="138">
        <v>91.116</v>
      </c>
      <c r="F726" s="138">
        <v>8.8840000000000003</v>
      </c>
      <c r="G726" s="138">
        <f t="shared" si="50"/>
        <v>90.358000000000004</v>
      </c>
      <c r="H726" s="148">
        <f t="shared" si="48"/>
        <v>0</v>
      </c>
      <c r="I726" s="138">
        <v>1</v>
      </c>
      <c r="J726" s="145">
        <f t="shared" si="51"/>
        <v>1</v>
      </c>
      <c r="K726" s="146">
        <f t="shared" si="52"/>
        <v>0</v>
      </c>
    </row>
    <row r="727" spans="1:11">
      <c r="A727" s="138">
        <f t="shared" si="49"/>
        <v>2.7848099999999998</v>
      </c>
      <c r="B727" s="138">
        <v>2784.81</v>
      </c>
      <c r="C727" s="138">
        <v>90.331000000000003</v>
      </c>
      <c r="D727" s="138">
        <v>9.6690000000000005</v>
      </c>
      <c r="E727" s="138">
        <v>91.093000000000004</v>
      </c>
      <c r="F727" s="138">
        <v>8.907</v>
      </c>
      <c r="G727" s="138">
        <f t="shared" si="50"/>
        <v>90.331000000000003</v>
      </c>
      <c r="H727" s="148">
        <f t="shared" si="48"/>
        <v>0</v>
      </c>
      <c r="I727" s="138">
        <v>1</v>
      </c>
      <c r="J727" s="145">
        <f t="shared" si="51"/>
        <v>1</v>
      </c>
      <c r="K727" s="146">
        <f t="shared" si="52"/>
        <v>0</v>
      </c>
    </row>
    <row r="728" spans="1:11">
      <c r="A728" s="138">
        <f t="shared" si="49"/>
        <v>2.7879749999999999</v>
      </c>
      <c r="B728" s="138">
        <v>2787.9749999999999</v>
      </c>
      <c r="C728" s="138">
        <v>90.304000000000002</v>
      </c>
      <c r="D728" s="138">
        <v>9.6959999999999997</v>
      </c>
      <c r="E728" s="138">
        <v>91.069000000000003</v>
      </c>
      <c r="F728" s="138">
        <v>8.9309999999999992</v>
      </c>
      <c r="G728" s="138">
        <f t="shared" si="50"/>
        <v>90.304000000000002</v>
      </c>
      <c r="H728" s="148">
        <f t="shared" si="48"/>
        <v>0</v>
      </c>
      <c r="I728" s="138">
        <v>1</v>
      </c>
      <c r="J728" s="145">
        <f t="shared" si="51"/>
        <v>1</v>
      </c>
      <c r="K728" s="146">
        <f t="shared" si="52"/>
        <v>0</v>
      </c>
    </row>
    <row r="729" spans="1:11">
      <c r="A729" s="138">
        <f t="shared" si="49"/>
        <v>2.7911390000000003</v>
      </c>
      <c r="B729" s="138">
        <v>2791.1390000000001</v>
      </c>
      <c r="C729" s="138">
        <v>90.275999999999996</v>
      </c>
      <c r="D729" s="138">
        <v>9.7240000000000002</v>
      </c>
      <c r="E729" s="138">
        <v>91.045000000000002</v>
      </c>
      <c r="F729" s="138">
        <v>8.9550000000000001</v>
      </c>
      <c r="G729" s="138">
        <f t="shared" si="50"/>
        <v>90.275999999999996</v>
      </c>
      <c r="H729" s="148">
        <f t="shared" si="48"/>
        <v>0</v>
      </c>
      <c r="I729" s="138">
        <v>1</v>
      </c>
      <c r="J729" s="145">
        <f t="shared" si="51"/>
        <v>1</v>
      </c>
      <c r="K729" s="146">
        <f t="shared" si="52"/>
        <v>0</v>
      </c>
    </row>
    <row r="730" spans="1:11">
      <c r="A730" s="138">
        <f t="shared" si="49"/>
        <v>2.7943039999999999</v>
      </c>
      <c r="B730" s="138">
        <v>2794.3040000000001</v>
      </c>
      <c r="C730" s="138">
        <v>90.248999999999995</v>
      </c>
      <c r="D730" s="138">
        <v>9.7509999999999994</v>
      </c>
      <c r="E730" s="138">
        <v>91.022000000000006</v>
      </c>
      <c r="F730" s="138">
        <v>8.9779999999999998</v>
      </c>
      <c r="G730" s="138">
        <f t="shared" si="50"/>
        <v>90.248999999999995</v>
      </c>
      <c r="H730" s="148">
        <f t="shared" si="48"/>
        <v>0</v>
      </c>
      <c r="I730" s="138">
        <v>1</v>
      </c>
      <c r="J730" s="145">
        <f t="shared" si="51"/>
        <v>1</v>
      </c>
      <c r="K730" s="146">
        <f t="shared" si="52"/>
        <v>0</v>
      </c>
    </row>
    <row r="731" spans="1:11">
      <c r="A731" s="138">
        <f t="shared" si="49"/>
        <v>2.7974679999999998</v>
      </c>
      <c r="B731" s="138">
        <v>2797.4679999999998</v>
      </c>
      <c r="C731" s="138">
        <v>90.221999999999994</v>
      </c>
      <c r="D731" s="138">
        <v>9.7780000000000005</v>
      </c>
      <c r="E731" s="138">
        <v>90.998000000000005</v>
      </c>
      <c r="F731" s="138">
        <v>9.0020000000000007</v>
      </c>
      <c r="G731" s="138">
        <f t="shared" si="50"/>
        <v>90.221999999999994</v>
      </c>
      <c r="H731" s="148">
        <f t="shared" si="48"/>
        <v>0</v>
      </c>
      <c r="I731" s="138">
        <v>1</v>
      </c>
      <c r="J731" s="145">
        <f t="shared" si="51"/>
        <v>1</v>
      </c>
      <c r="K731" s="146">
        <f t="shared" si="52"/>
        <v>0</v>
      </c>
    </row>
    <row r="732" spans="1:11">
      <c r="A732" s="138">
        <f t="shared" si="49"/>
        <v>2.8006329999999999</v>
      </c>
      <c r="B732" s="138">
        <v>2800.6329999999998</v>
      </c>
      <c r="C732" s="138">
        <v>90.194999999999993</v>
      </c>
      <c r="D732" s="138">
        <v>9.8049999999999997</v>
      </c>
      <c r="E732" s="138">
        <v>90.974999999999994</v>
      </c>
      <c r="F732" s="138">
        <v>9.0250000000000004</v>
      </c>
      <c r="G732" s="138">
        <f t="shared" si="50"/>
        <v>90.194999999999993</v>
      </c>
      <c r="H732" s="148">
        <f t="shared" si="48"/>
        <v>0</v>
      </c>
      <c r="I732" s="138">
        <v>1</v>
      </c>
      <c r="J732" s="145">
        <f t="shared" si="51"/>
        <v>1</v>
      </c>
      <c r="K732" s="146">
        <f t="shared" si="52"/>
        <v>0</v>
      </c>
    </row>
    <row r="733" spans="1:11">
      <c r="A733" s="138">
        <f t="shared" si="49"/>
        <v>2.8037969999999999</v>
      </c>
      <c r="B733" s="138">
        <v>2803.797</v>
      </c>
      <c r="C733" s="138">
        <v>90.167000000000002</v>
      </c>
      <c r="D733" s="138">
        <v>9.8330000000000002</v>
      </c>
      <c r="E733" s="138">
        <v>90.950999999999993</v>
      </c>
      <c r="F733" s="138">
        <v>9.0489999999999995</v>
      </c>
      <c r="G733" s="138">
        <f t="shared" si="50"/>
        <v>90.167000000000002</v>
      </c>
      <c r="H733" s="148">
        <f t="shared" si="48"/>
        <v>0</v>
      </c>
      <c r="I733" s="138">
        <v>1</v>
      </c>
      <c r="J733" s="145">
        <f t="shared" si="51"/>
        <v>1</v>
      </c>
      <c r="K733" s="146">
        <f t="shared" si="52"/>
        <v>0</v>
      </c>
    </row>
    <row r="734" spans="1:11">
      <c r="A734" s="138">
        <f t="shared" si="49"/>
        <v>2.806962</v>
      </c>
      <c r="B734" s="138">
        <v>2806.962</v>
      </c>
      <c r="C734" s="138">
        <v>90.14</v>
      </c>
      <c r="D734" s="138">
        <v>9.86</v>
      </c>
      <c r="E734" s="138">
        <v>90.927999999999997</v>
      </c>
      <c r="F734" s="138">
        <v>9.0719999999999992</v>
      </c>
      <c r="G734" s="138">
        <f t="shared" si="50"/>
        <v>90.14</v>
      </c>
      <c r="H734" s="148">
        <f t="shared" si="48"/>
        <v>0</v>
      </c>
      <c r="I734" s="138">
        <v>1</v>
      </c>
      <c r="J734" s="145">
        <f t="shared" si="51"/>
        <v>1</v>
      </c>
      <c r="K734" s="146">
        <f t="shared" si="52"/>
        <v>0</v>
      </c>
    </row>
    <row r="735" spans="1:11">
      <c r="A735" s="138">
        <f t="shared" si="49"/>
        <v>2.810127</v>
      </c>
      <c r="B735" s="138">
        <v>2810.127</v>
      </c>
      <c r="C735" s="138">
        <v>90.113</v>
      </c>
      <c r="D735" s="138">
        <v>9.8870000000000005</v>
      </c>
      <c r="E735" s="138">
        <v>90.903999999999996</v>
      </c>
      <c r="F735" s="138">
        <v>9.0960000000000001</v>
      </c>
      <c r="G735" s="138">
        <f t="shared" si="50"/>
        <v>90.113</v>
      </c>
      <c r="H735" s="148">
        <f t="shared" ref="H735:H795" si="53">MAX(0,1+(2400-B735)/100)</f>
        <v>0</v>
      </c>
      <c r="I735" s="138">
        <v>1</v>
      </c>
      <c r="J735" s="145">
        <f t="shared" si="51"/>
        <v>1</v>
      </c>
      <c r="K735" s="146">
        <f t="shared" si="52"/>
        <v>0</v>
      </c>
    </row>
    <row r="736" spans="1:11">
      <c r="A736" s="138">
        <f t="shared" si="49"/>
        <v>2.813291</v>
      </c>
      <c r="B736" s="138">
        <v>2813.2910000000002</v>
      </c>
      <c r="C736" s="138">
        <v>90.085999999999999</v>
      </c>
      <c r="D736" s="138">
        <v>9.9139999999999997</v>
      </c>
      <c r="E736" s="138">
        <v>90.881</v>
      </c>
      <c r="F736" s="138">
        <v>9.1189999999999998</v>
      </c>
      <c r="G736" s="138">
        <f t="shared" si="50"/>
        <v>90.085999999999999</v>
      </c>
      <c r="H736" s="148">
        <f t="shared" si="53"/>
        <v>0</v>
      </c>
      <c r="I736" s="138">
        <v>1</v>
      </c>
      <c r="J736" s="145">
        <f t="shared" si="51"/>
        <v>1</v>
      </c>
      <c r="K736" s="146">
        <f t="shared" si="52"/>
        <v>0</v>
      </c>
    </row>
    <row r="737" spans="1:11">
      <c r="A737" s="138">
        <f t="shared" si="49"/>
        <v>2.8164560000000001</v>
      </c>
      <c r="B737" s="138">
        <v>2816.4560000000001</v>
      </c>
      <c r="C737" s="138">
        <v>90.058999999999997</v>
      </c>
      <c r="D737" s="138">
        <v>9.9410000000000007</v>
      </c>
      <c r="E737" s="138">
        <v>90.858000000000004</v>
      </c>
      <c r="F737" s="138">
        <v>9.1419999999999995</v>
      </c>
      <c r="G737" s="138">
        <f t="shared" si="50"/>
        <v>90.058999999999997</v>
      </c>
      <c r="H737" s="148">
        <f t="shared" si="53"/>
        <v>0</v>
      </c>
      <c r="I737" s="138">
        <v>1</v>
      </c>
      <c r="J737" s="145">
        <f t="shared" si="51"/>
        <v>1</v>
      </c>
      <c r="K737" s="146">
        <f t="shared" si="52"/>
        <v>0</v>
      </c>
    </row>
    <row r="738" spans="1:11">
      <c r="A738" s="138">
        <f t="shared" si="49"/>
        <v>2.81962</v>
      </c>
      <c r="B738" s="138">
        <v>2819.62</v>
      </c>
      <c r="C738" s="138">
        <v>90.033000000000001</v>
      </c>
      <c r="D738" s="138">
        <v>9.9670000000000005</v>
      </c>
      <c r="E738" s="138">
        <v>90.834000000000003</v>
      </c>
      <c r="F738" s="138">
        <v>9.1660000000000004</v>
      </c>
      <c r="G738" s="138">
        <f t="shared" si="50"/>
        <v>90.033000000000001</v>
      </c>
      <c r="H738" s="148">
        <f t="shared" si="53"/>
        <v>0</v>
      </c>
      <c r="I738" s="138">
        <v>1</v>
      </c>
      <c r="J738" s="145">
        <f t="shared" si="51"/>
        <v>1</v>
      </c>
      <c r="K738" s="146">
        <f t="shared" si="52"/>
        <v>0</v>
      </c>
    </row>
    <row r="739" spans="1:11">
      <c r="A739" s="138">
        <f t="shared" si="49"/>
        <v>2.8227849999999997</v>
      </c>
      <c r="B739" s="138">
        <v>2822.7849999999999</v>
      </c>
      <c r="C739" s="138">
        <v>90.006</v>
      </c>
      <c r="D739" s="138">
        <v>9.9939999999999998</v>
      </c>
      <c r="E739" s="138">
        <v>90.811000000000007</v>
      </c>
      <c r="F739" s="138">
        <v>9.1890000000000001</v>
      </c>
      <c r="G739" s="138">
        <f t="shared" si="50"/>
        <v>90.006</v>
      </c>
      <c r="H739" s="148">
        <f t="shared" si="53"/>
        <v>0</v>
      </c>
      <c r="I739" s="138">
        <v>1</v>
      </c>
      <c r="J739" s="145">
        <f t="shared" si="51"/>
        <v>1</v>
      </c>
      <c r="K739" s="146">
        <f t="shared" si="52"/>
        <v>0</v>
      </c>
    </row>
    <row r="740" spans="1:11">
      <c r="A740" s="138">
        <f t="shared" si="49"/>
        <v>2.825949</v>
      </c>
      <c r="B740" s="138">
        <v>2825.9490000000001</v>
      </c>
      <c r="C740" s="138">
        <v>89.978999999999999</v>
      </c>
      <c r="D740" s="138">
        <v>10.021000000000001</v>
      </c>
      <c r="E740" s="138">
        <v>90.787999999999997</v>
      </c>
      <c r="F740" s="138">
        <v>9.2119999999999997</v>
      </c>
      <c r="G740" s="138">
        <f t="shared" si="50"/>
        <v>89.978999999999999</v>
      </c>
      <c r="H740" s="148">
        <f t="shared" si="53"/>
        <v>0</v>
      </c>
      <c r="I740" s="138">
        <v>1</v>
      </c>
      <c r="J740" s="145">
        <f t="shared" si="51"/>
        <v>1</v>
      </c>
      <c r="K740" s="146">
        <f t="shared" si="52"/>
        <v>0</v>
      </c>
    </row>
    <row r="741" spans="1:11">
      <c r="A741" s="138">
        <f t="shared" si="49"/>
        <v>2.8291140000000001</v>
      </c>
      <c r="B741" s="138">
        <v>2829.114</v>
      </c>
      <c r="C741" s="138">
        <v>89.951999999999998</v>
      </c>
      <c r="D741" s="138">
        <v>10.048</v>
      </c>
      <c r="E741" s="138">
        <v>90.765000000000001</v>
      </c>
      <c r="F741" s="138">
        <v>9.2349999999999994</v>
      </c>
      <c r="G741" s="138">
        <f t="shared" si="50"/>
        <v>89.951999999999998</v>
      </c>
      <c r="H741" s="148">
        <f t="shared" si="53"/>
        <v>0</v>
      </c>
      <c r="I741" s="138">
        <v>1</v>
      </c>
      <c r="J741" s="145">
        <f t="shared" si="51"/>
        <v>1</v>
      </c>
      <c r="K741" s="146">
        <f t="shared" si="52"/>
        <v>0</v>
      </c>
    </row>
    <row r="742" spans="1:11">
      <c r="A742" s="138">
        <f t="shared" si="49"/>
        <v>2.8322779999999996</v>
      </c>
      <c r="B742" s="138">
        <v>2832.2779999999998</v>
      </c>
      <c r="C742" s="138">
        <v>89.926000000000002</v>
      </c>
      <c r="D742" s="138">
        <v>10.074</v>
      </c>
      <c r="E742" s="138">
        <v>90.742000000000004</v>
      </c>
      <c r="F742" s="138">
        <v>9.2579999999999991</v>
      </c>
      <c r="G742" s="138">
        <f t="shared" si="50"/>
        <v>89.926000000000002</v>
      </c>
      <c r="H742" s="148">
        <f t="shared" si="53"/>
        <v>0</v>
      </c>
      <c r="I742" s="138">
        <v>1</v>
      </c>
      <c r="J742" s="145">
        <f t="shared" si="51"/>
        <v>1</v>
      </c>
      <c r="K742" s="146">
        <f t="shared" si="52"/>
        <v>0</v>
      </c>
    </row>
    <row r="743" spans="1:11">
      <c r="A743" s="138">
        <f t="shared" si="49"/>
        <v>2.8354430000000002</v>
      </c>
      <c r="B743" s="138">
        <v>2835.4430000000002</v>
      </c>
      <c r="C743" s="138">
        <v>89.899000000000001</v>
      </c>
      <c r="D743" s="138">
        <v>10.101000000000001</v>
      </c>
      <c r="E743" s="138">
        <v>90.718999999999994</v>
      </c>
      <c r="F743" s="138">
        <v>9.2810000000000006</v>
      </c>
      <c r="G743" s="138">
        <f t="shared" si="50"/>
        <v>89.899000000000001</v>
      </c>
      <c r="H743" s="148">
        <f t="shared" si="53"/>
        <v>0</v>
      </c>
      <c r="I743" s="138">
        <v>1</v>
      </c>
      <c r="J743" s="145">
        <f t="shared" si="51"/>
        <v>1</v>
      </c>
      <c r="K743" s="146">
        <f t="shared" si="52"/>
        <v>0</v>
      </c>
    </row>
    <row r="744" spans="1:11">
      <c r="A744" s="138">
        <f t="shared" si="49"/>
        <v>2.8386080000000002</v>
      </c>
      <c r="B744" s="138">
        <v>2838.6080000000002</v>
      </c>
      <c r="C744" s="138">
        <v>89.872</v>
      </c>
      <c r="D744" s="138">
        <v>10.128</v>
      </c>
      <c r="E744" s="138">
        <v>90.695999999999998</v>
      </c>
      <c r="F744" s="138">
        <v>9.3040000000000003</v>
      </c>
      <c r="G744" s="138">
        <f t="shared" si="50"/>
        <v>89.872</v>
      </c>
      <c r="H744" s="148">
        <f t="shared" si="53"/>
        <v>0</v>
      </c>
      <c r="I744" s="138">
        <v>1</v>
      </c>
      <c r="J744" s="145">
        <f t="shared" si="51"/>
        <v>1</v>
      </c>
      <c r="K744" s="146">
        <f t="shared" si="52"/>
        <v>0</v>
      </c>
    </row>
    <row r="745" spans="1:11">
      <c r="A745" s="138">
        <f t="shared" si="49"/>
        <v>2.8417719999999997</v>
      </c>
      <c r="B745" s="138">
        <v>2841.7719999999999</v>
      </c>
      <c r="C745" s="138">
        <v>89.846000000000004</v>
      </c>
      <c r="D745" s="138">
        <v>10.154</v>
      </c>
      <c r="E745" s="138">
        <v>90.673000000000002</v>
      </c>
      <c r="F745" s="138">
        <v>9.327</v>
      </c>
      <c r="G745" s="138">
        <f t="shared" si="50"/>
        <v>89.846000000000004</v>
      </c>
      <c r="H745" s="148">
        <f t="shared" si="53"/>
        <v>0</v>
      </c>
      <c r="I745" s="138">
        <v>1</v>
      </c>
      <c r="J745" s="145">
        <f t="shared" si="51"/>
        <v>1</v>
      </c>
      <c r="K745" s="146">
        <f t="shared" si="52"/>
        <v>0</v>
      </c>
    </row>
    <row r="746" spans="1:11">
      <c r="A746" s="138">
        <f t="shared" si="49"/>
        <v>2.8449369999999998</v>
      </c>
      <c r="B746" s="138">
        <v>2844.9369999999999</v>
      </c>
      <c r="C746" s="138">
        <v>89.819000000000003</v>
      </c>
      <c r="D746" s="138">
        <v>10.180999999999999</v>
      </c>
      <c r="E746" s="138">
        <v>90.65</v>
      </c>
      <c r="F746" s="138">
        <v>9.35</v>
      </c>
      <c r="G746" s="138">
        <f t="shared" si="50"/>
        <v>89.819000000000003</v>
      </c>
      <c r="H746" s="148">
        <f t="shared" si="53"/>
        <v>0</v>
      </c>
      <c r="I746" s="138">
        <v>1</v>
      </c>
      <c r="J746" s="145">
        <f t="shared" si="51"/>
        <v>1</v>
      </c>
      <c r="K746" s="146">
        <f t="shared" si="52"/>
        <v>0</v>
      </c>
    </row>
    <row r="747" spans="1:11">
      <c r="A747" s="138">
        <f t="shared" si="49"/>
        <v>2.8481010000000002</v>
      </c>
      <c r="B747" s="138">
        <v>2848.1010000000001</v>
      </c>
      <c r="C747" s="138">
        <v>89.793000000000006</v>
      </c>
      <c r="D747" s="138">
        <v>10.207000000000001</v>
      </c>
      <c r="E747" s="138">
        <v>90.626999999999995</v>
      </c>
      <c r="F747" s="138">
        <v>9.3729999999999993</v>
      </c>
      <c r="G747" s="138">
        <f t="shared" si="50"/>
        <v>89.793000000000006</v>
      </c>
      <c r="H747" s="148">
        <f t="shared" si="53"/>
        <v>0</v>
      </c>
      <c r="I747" s="138">
        <v>1</v>
      </c>
      <c r="J747" s="145">
        <f t="shared" si="51"/>
        <v>1</v>
      </c>
      <c r="K747" s="146">
        <f t="shared" si="52"/>
        <v>0</v>
      </c>
    </row>
    <row r="748" spans="1:11">
      <c r="A748" s="138">
        <f t="shared" si="49"/>
        <v>2.8512659999999999</v>
      </c>
      <c r="B748" s="138">
        <v>2851.2660000000001</v>
      </c>
      <c r="C748" s="138">
        <v>89.766999999999996</v>
      </c>
      <c r="D748" s="138">
        <v>10.233000000000001</v>
      </c>
      <c r="E748" s="138">
        <v>90.603999999999999</v>
      </c>
      <c r="F748" s="138">
        <v>9.3960000000000008</v>
      </c>
      <c r="G748" s="138">
        <f t="shared" si="50"/>
        <v>89.766999999999996</v>
      </c>
      <c r="H748" s="148">
        <f t="shared" si="53"/>
        <v>0</v>
      </c>
      <c r="I748" s="138">
        <v>1</v>
      </c>
      <c r="J748" s="145">
        <f t="shared" si="51"/>
        <v>1</v>
      </c>
      <c r="K748" s="146">
        <f t="shared" si="52"/>
        <v>0</v>
      </c>
    </row>
    <row r="749" spans="1:11">
      <c r="A749" s="138">
        <f t="shared" si="49"/>
        <v>2.8544299999999998</v>
      </c>
      <c r="B749" s="138">
        <v>2854.43</v>
      </c>
      <c r="C749" s="138">
        <v>89.741</v>
      </c>
      <c r="D749" s="138">
        <v>10.259</v>
      </c>
      <c r="E749" s="138">
        <v>90.581000000000003</v>
      </c>
      <c r="F749" s="138">
        <v>9.4190000000000005</v>
      </c>
      <c r="G749" s="138">
        <f t="shared" si="50"/>
        <v>89.741</v>
      </c>
      <c r="H749" s="148">
        <f t="shared" si="53"/>
        <v>0</v>
      </c>
      <c r="I749" s="138">
        <v>1</v>
      </c>
      <c r="J749" s="145">
        <f t="shared" si="51"/>
        <v>1</v>
      </c>
      <c r="K749" s="146">
        <f t="shared" si="52"/>
        <v>0</v>
      </c>
    </row>
    <row r="750" spans="1:11">
      <c r="A750" s="138">
        <f t="shared" si="49"/>
        <v>2.8575949999999999</v>
      </c>
      <c r="B750" s="138">
        <v>2857.5949999999998</v>
      </c>
      <c r="C750" s="138">
        <v>89.713999999999999</v>
      </c>
      <c r="D750" s="138">
        <v>10.286</v>
      </c>
      <c r="E750" s="138">
        <v>90.558999999999997</v>
      </c>
      <c r="F750" s="138">
        <v>9.4410000000000007</v>
      </c>
      <c r="G750" s="138">
        <f t="shared" si="50"/>
        <v>89.713999999999999</v>
      </c>
      <c r="H750" s="148">
        <f t="shared" si="53"/>
        <v>0</v>
      </c>
      <c r="I750" s="138">
        <v>1</v>
      </c>
      <c r="J750" s="145">
        <f t="shared" si="51"/>
        <v>1</v>
      </c>
      <c r="K750" s="146">
        <f t="shared" si="52"/>
        <v>0</v>
      </c>
    </row>
    <row r="751" spans="1:11">
      <c r="A751" s="138">
        <f t="shared" si="49"/>
        <v>2.8607589999999998</v>
      </c>
      <c r="B751" s="138">
        <v>2860.759</v>
      </c>
      <c r="C751" s="138">
        <v>89.688000000000002</v>
      </c>
      <c r="D751" s="138">
        <v>10.311999999999999</v>
      </c>
      <c r="E751" s="138">
        <v>90.536000000000001</v>
      </c>
      <c r="F751" s="138">
        <v>9.4640000000000004</v>
      </c>
      <c r="G751" s="138">
        <f t="shared" si="50"/>
        <v>89.688000000000002</v>
      </c>
      <c r="H751" s="148">
        <f t="shared" si="53"/>
        <v>0</v>
      </c>
      <c r="I751" s="138">
        <v>1</v>
      </c>
      <c r="J751" s="145">
        <f t="shared" si="51"/>
        <v>1</v>
      </c>
      <c r="K751" s="146">
        <f t="shared" si="52"/>
        <v>0</v>
      </c>
    </row>
    <row r="752" spans="1:11">
      <c r="A752" s="138">
        <f t="shared" si="49"/>
        <v>2.8639239999999999</v>
      </c>
      <c r="B752" s="138">
        <v>2863.924</v>
      </c>
      <c r="C752" s="138">
        <v>89.662000000000006</v>
      </c>
      <c r="D752" s="138">
        <v>10.337999999999999</v>
      </c>
      <c r="E752" s="138">
        <v>90.513000000000005</v>
      </c>
      <c r="F752" s="138">
        <v>9.4870000000000001</v>
      </c>
      <c r="G752" s="138">
        <f t="shared" si="50"/>
        <v>89.662000000000006</v>
      </c>
      <c r="H752" s="148">
        <f t="shared" si="53"/>
        <v>0</v>
      </c>
      <c r="I752" s="138">
        <v>1</v>
      </c>
      <c r="J752" s="145">
        <f t="shared" si="51"/>
        <v>1</v>
      </c>
      <c r="K752" s="146">
        <f t="shared" si="52"/>
        <v>0</v>
      </c>
    </row>
    <row r="753" spans="1:11">
      <c r="A753" s="138">
        <f t="shared" si="49"/>
        <v>2.867089</v>
      </c>
      <c r="B753" s="138">
        <v>2867.0889999999999</v>
      </c>
      <c r="C753" s="138">
        <v>89.635999999999996</v>
      </c>
      <c r="D753" s="138">
        <v>10.364000000000001</v>
      </c>
      <c r="E753" s="138">
        <v>90.491</v>
      </c>
      <c r="F753" s="138">
        <v>9.5090000000000003</v>
      </c>
      <c r="G753" s="138">
        <f t="shared" si="50"/>
        <v>89.635999999999996</v>
      </c>
      <c r="H753" s="148">
        <f t="shared" si="53"/>
        <v>0</v>
      </c>
      <c r="I753" s="138">
        <v>1</v>
      </c>
      <c r="J753" s="145">
        <f t="shared" si="51"/>
        <v>1</v>
      </c>
      <c r="K753" s="146">
        <f t="shared" si="52"/>
        <v>0</v>
      </c>
    </row>
    <row r="754" spans="1:11">
      <c r="A754" s="138">
        <f t="shared" si="49"/>
        <v>2.8702529999999999</v>
      </c>
      <c r="B754" s="138">
        <v>2870.2530000000002</v>
      </c>
      <c r="C754" s="138">
        <v>89.61</v>
      </c>
      <c r="D754" s="138">
        <v>10.39</v>
      </c>
      <c r="E754" s="138">
        <v>90.468000000000004</v>
      </c>
      <c r="F754" s="138">
        <v>9.532</v>
      </c>
      <c r="G754" s="138">
        <f t="shared" si="50"/>
        <v>89.61</v>
      </c>
      <c r="H754" s="148">
        <f t="shared" si="53"/>
        <v>0</v>
      </c>
      <c r="I754" s="138">
        <v>1</v>
      </c>
      <c r="J754" s="145">
        <f t="shared" si="51"/>
        <v>1</v>
      </c>
      <c r="K754" s="146">
        <f t="shared" si="52"/>
        <v>0</v>
      </c>
    </row>
    <row r="755" spans="1:11">
      <c r="A755" s="138">
        <f t="shared" si="49"/>
        <v>2.873418</v>
      </c>
      <c r="B755" s="138">
        <v>2873.4180000000001</v>
      </c>
      <c r="C755" s="138">
        <v>89.584000000000003</v>
      </c>
      <c r="D755" s="138">
        <v>10.416</v>
      </c>
      <c r="E755" s="138">
        <v>90.445999999999998</v>
      </c>
      <c r="F755" s="138">
        <v>9.5540000000000003</v>
      </c>
      <c r="G755" s="138">
        <f t="shared" si="50"/>
        <v>89.584000000000003</v>
      </c>
      <c r="H755" s="148">
        <f t="shared" si="53"/>
        <v>0</v>
      </c>
      <c r="I755" s="138">
        <v>1</v>
      </c>
      <c r="J755" s="145">
        <f t="shared" si="51"/>
        <v>1</v>
      </c>
      <c r="K755" s="146">
        <f t="shared" si="52"/>
        <v>0</v>
      </c>
    </row>
    <row r="756" spans="1:11">
      <c r="A756" s="138">
        <f t="shared" si="49"/>
        <v>2.876582</v>
      </c>
      <c r="B756" s="138">
        <v>2876.5819999999999</v>
      </c>
      <c r="C756" s="138">
        <v>89.558000000000007</v>
      </c>
      <c r="D756" s="138">
        <v>10.442</v>
      </c>
      <c r="E756" s="138">
        <v>90.423000000000002</v>
      </c>
      <c r="F756" s="138">
        <v>9.577</v>
      </c>
      <c r="G756" s="138">
        <f t="shared" si="50"/>
        <v>89.558000000000007</v>
      </c>
      <c r="H756" s="148">
        <f t="shared" si="53"/>
        <v>0</v>
      </c>
      <c r="I756" s="138">
        <v>1</v>
      </c>
      <c r="J756" s="145">
        <f t="shared" si="51"/>
        <v>1</v>
      </c>
      <c r="K756" s="146">
        <f t="shared" si="52"/>
        <v>0</v>
      </c>
    </row>
    <row r="757" spans="1:11">
      <c r="A757" s="138">
        <f t="shared" si="49"/>
        <v>2.8797470000000001</v>
      </c>
      <c r="B757" s="138">
        <v>2879.7469999999998</v>
      </c>
      <c r="C757" s="138">
        <v>89.531999999999996</v>
      </c>
      <c r="D757" s="138">
        <v>10.468</v>
      </c>
      <c r="E757" s="138">
        <v>90.400999999999996</v>
      </c>
      <c r="F757" s="138">
        <v>9.5990000000000002</v>
      </c>
      <c r="G757" s="138">
        <f t="shared" si="50"/>
        <v>89.531999999999996</v>
      </c>
      <c r="H757" s="148">
        <f t="shared" si="53"/>
        <v>0</v>
      </c>
      <c r="I757" s="138">
        <v>1</v>
      </c>
      <c r="J757" s="145">
        <f t="shared" si="51"/>
        <v>1</v>
      </c>
      <c r="K757" s="146">
        <f t="shared" si="52"/>
        <v>0</v>
      </c>
    </row>
    <row r="758" spans="1:11">
      <c r="A758" s="138">
        <f t="shared" si="49"/>
        <v>2.882911</v>
      </c>
      <c r="B758" s="138">
        <v>2882.9110000000001</v>
      </c>
      <c r="C758" s="138">
        <v>89.506</v>
      </c>
      <c r="D758" s="138">
        <v>10.494</v>
      </c>
      <c r="E758" s="138">
        <v>90.379000000000005</v>
      </c>
      <c r="F758" s="138">
        <v>9.6210000000000004</v>
      </c>
      <c r="G758" s="138">
        <f t="shared" si="50"/>
        <v>89.506</v>
      </c>
      <c r="H758" s="148">
        <f t="shared" si="53"/>
        <v>0</v>
      </c>
      <c r="I758" s="138">
        <v>1</v>
      </c>
      <c r="J758" s="145">
        <f t="shared" si="51"/>
        <v>1</v>
      </c>
      <c r="K758" s="146">
        <f t="shared" si="52"/>
        <v>0</v>
      </c>
    </row>
    <row r="759" spans="1:11">
      <c r="A759" s="138">
        <f t="shared" si="49"/>
        <v>2.8860760000000001</v>
      </c>
      <c r="B759" s="138">
        <v>2886.076</v>
      </c>
      <c r="C759" s="138">
        <v>89.480999999999995</v>
      </c>
      <c r="D759" s="138">
        <v>10.519</v>
      </c>
      <c r="E759" s="138">
        <v>90.355999999999995</v>
      </c>
      <c r="F759" s="138">
        <v>9.6440000000000001</v>
      </c>
      <c r="G759" s="138">
        <f t="shared" si="50"/>
        <v>89.480999999999995</v>
      </c>
      <c r="H759" s="148">
        <f t="shared" si="53"/>
        <v>0</v>
      </c>
      <c r="I759" s="138">
        <v>1</v>
      </c>
      <c r="J759" s="145">
        <f t="shared" si="51"/>
        <v>1</v>
      </c>
      <c r="K759" s="146">
        <f t="shared" si="52"/>
        <v>0</v>
      </c>
    </row>
    <row r="760" spans="1:11">
      <c r="A760" s="138">
        <f t="shared" si="49"/>
        <v>2.8892410000000002</v>
      </c>
      <c r="B760" s="138">
        <v>2889.241</v>
      </c>
      <c r="C760" s="138">
        <v>89.454999999999998</v>
      </c>
      <c r="D760" s="138">
        <v>10.545</v>
      </c>
      <c r="E760" s="138">
        <v>90.334000000000003</v>
      </c>
      <c r="F760" s="138">
        <v>9.6660000000000004</v>
      </c>
      <c r="G760" s="138">
        <f t="shared" si="50"/>
        <v>89.454999999999998</v>
      </c>
      <c r="H760" s="148">
        <f t="shared" si="53"/>
        <v>0</v>
      </c>
      <c r="I760" s="138">
        <v>1</v>
      </c>
      <c r="J760" s="145">
        <f t="shared" si="51"/>
        <v>1</v>
      </c>
      <c r="K760" s="146">
        <f t="shared" si="52"/>
        <v>0</v>
      </c>
    </row>
    <row r="761" spans="1:11">
      <c r="A761" s="138">
        <f t="shared" si="49"/>
        <v>2.8924050000000001</v>
      </c>
      <c r="B761" s="138">
        <v>2892.4050000000002</v>
      </c>
      <c r="C761" s="138">
        <v>89.429000000000002</v>
      </c>
      <c r="D761" s="138">
        <v>10.571</v>
      </c>
      <c r="E761" s="138">
        <v>90.311999999999998</v>
      </c>
      <c r="F761" s="138">
        <v>9.6880000000000006</v>
      </c>
      <c r="G761" s="138">
        <f t="shared" si="50"/>
        <v>89.429000000000002</v>
      </c>
      <c r="H761" s="148">
        <f t="shared" si="53"/>
        <v>0</v>
      </c>
      <c r="I761" s="138">
        <v>1</v>
      </c>
      <c r="J761" s="145">
        <f t="shared" si="51"/>
        <v>1</v>
      </c>
      <c r="K761" s="146">
        <f t="shared" si="52"/>
        <v>0</v>
      </c>
    </row>
    <row r="762" spans="1:11">
      <c r="A762" s="138">
        <f t="shared" si="49"/>
        <v>2.8955700000000002</v>
      </c>
      <c r="B762" s="138">
        <v>2895.57</v>
      </c>
      <c r="C762" s="138">
        <v>89.403999999999996</v>
      </c>
      <c r="D762" s="138">
        <v>10.596</v>
      </c>
      <c r="E762" s="138">
        <v>90.29</v>
      </c>
      <c r="F762" s="138">
        <v>9.7100000000000009</v>
      </c>
      <c r="G762" s="138">
        <f t="shared" si="50"/>
        <v>89.403999999999996</v>
      </c>
      <c r="H762" s="148">
        <f t="shared" si="53"/>
        <v>0</v>
      </c>
      <c r="I762" s="138">
        <v>1</v>
      </c>
      <c r="J762" s="145">
        <f t="shared" si="51"/>
        <v>1</v>
      </c>
      <c r="K762" s="146">
        <f t="shared" si="52"/>
        <v>0</v>
      </c>
    </row>
    <row r="763" spans="1:11">
      <c r="A763" s="138">
        <f t="shared" si="49"/>
        <v>2.8987340000000001</v>
      </c>
      <c r="B763" s="138">
        <v>2898.7339999999999</v>
      </c>
      <c r="C763" s="138">
        <v>89.378</v>
      </c>
      <c r="D763" s="138">
        <v>10.622</v>
      </c>
      <c r="E763" s="138">
        <v>90.268000000000001</v>
      </c>
      <c r="F763" s="138">
        <v>9.7319999999999993</v>
      </c>
      <c r="G763" s="138">
        <f t="shared" si="50"/>
        <v>89.378</v>
      </c>
      <c r="H763" s="148">
        <f t="shared" si="53"/>
        <v>0</v>
      </c>
      <c r="I763" s="138">
        <v>1</v>
      </c>
      <c r="J763" s="145">
        <f t="shared" si="51"/>
        <v>1</v>
      </c>
      <c r="K763" s="146">
        <f t="shared" si="52"/>
        <v>0</v>
      </c>
    </row>
    <row r="764" spans="1:11">
      <c r="A764" s="138">
        <f t="shared" si="49"/>
        <v>2.9018989999999998</v>
      </c>
      <c r="B764" s="138">
        <v>2901.8989999999999</v>
      </c>
      <c r="C764" s="138">
        <v>89.352999999999994</v>
      </c>
      <c r="D764" s="138">
        <v>10.647</v>
      </c>
      <c r="E764" s="138">
        <v>90.245000000000005</v>
      </c>
      <c r="F764" s="138">
        <v>9.7550000000000008</v>
      </c>
      <c r="G764" s="138">
        <f t="shared" si="50"/>
        <v>89.352999999999994</v>
      </c>
      <c r="H764" s="148">
        <f t="shared" si="53"/>
        <v>0</v>
      </c>
      <c r="I764" s="138">
        <v>1</v>
      </c>
      <c r="J764" s="145">
        <f t="shared" si="51"/>
        <v>1</v>
      </c>
      <c r="K764" s="146">
        <f t="shared" si="52"/>
        <v>0</v>
      </c>
    </row>
    <row r="765" spans="1:11">
      <c r="A765" s="138">
        <f t="shared" si="49"/>
        <v>2.9050630000000002</v>
      </c>
      <c r="B765" s="138">
        <v>2905.0630000000001</v>
      </c>
      <c r="C765" s="138">
        <v>89.326999999999998</v>
      </c>
      <c r="D765" s="138">
        <v>10.673</v>
      </c>
      <c r="E765" s="138">
        <v>90.222999999999999</v>
      </c>
      <c r="F765" s="138">
        <v>9.7769999999999992</v>
      </c>
      <c r="G765" s="138">
        <f t="shared" si="50"/>
        <v>89.326999999999998</v>
      </c>
      <c r="H765" s="148">
        <f t="shared" si="53"/>
        <v>0</v>
      </c>
      <c r="I765" s="138">
        <v>1</v>
      </c>
      <c r="J765" s="145">
        <f t="shared" si="51"/>
        <v>1</v>
      </c>
      <c r="K765" s="146">
        <f t="shared" si="52"/>
        <v>0</v>
      </c>
    </row>
    <row r="766" spans="1:11">
      <c r="A766" s="138">
        <f t="shared" si="49"/>
        <v>2.9082280000000003</v>
      </c>
      <c r="B766" s="138">
        <v>2908.2280000000001</v>
      </c>
      <c r="C766" s="138">
        <v>89.302000000000007</v>
      </c>
      <c r="D766" s="138">
        <v>10.698</v>
      </c>
      <c r="E766" s="138">
        <v>90.200999999999993</v>
      </c>
      <c r="F766" s="138">
        <v>9.7989999999999995</v>
      </c>
      <c r="G766" s="138">
        <f t="shared" si="50"/>
        <v>89.302000000000007</v>
      </c>
      <c r="H766" s="148">
        <f t="shared" si="53"/>
        <v>0</v>
      </c>
      <c r="I766" s="138">
        <v>1</v>
      </c>
      <c r="J766" s="145">
        <f t="shared" si="51"/>
        <v>1</v>
      </c>
      <c r="K766" s="146">
        <f t="shared" si="52"/>
        <v>0</v>
      </c>
    </row>
    <row r="767" spans="1:11">
      <c r="A767" s="138">
        <f t="shared" si="49"/>
        <v>2.9113919999999998</v>
      </c>
      <c r="B767" s="138">
        <v>2911.3919999999998</v>
      </c>
      <c r="C767" s="138">
        <v>89.277000000000001</v>
      </c>
      <c r="D767" s="138">
        <v>10.723000000000001</v>
      </c>
      <c r="E767" s="138">
        <v>90.18</v>
      </c>
      <c r="F767" s="138">
        <v>9.82</v>
      </c>
      <c r="G767" s="138">
        <f t="shared" si="50"/>
        <v>89.277000000000001</v>
      </c>
      <c r="H767" s="148">
        <f t="shared" si="53"/>
        <v>0</v>
      </c>
      <c r="I767" s="138">
        <v>1</v>
      </c>
      <c r="J767" s="145">
        <f t="shared" si="51"/>
        <v>1</v>
      </c>
      <c r="K767" s="146">
        <f t="shared" si="52"/>
        <v>0</v>
      </c>
    </row>
    <row r="768" spans="1:11">
      <c r="A768" s="138">
        <f t="shared" si="49"/>
        <v>2.9145569999999998</v>
      </c>
      <c r="B768" s="138">
        <v>2914.5569999999998</v>
      </c>
      <c r="C768" s="138">
        <v>89.251000000000005</v>
      </c>
      <c r="D768" s="138">
        <v>10.749000000000001</v>
      </c>
      <c r="E768" s="138">
        <v>90.158000000000001</v>
      </c>
      <c r="F768" s="138">
        <v>9.8420000000000005</v>
      </c>
      <c r="G768" s="138">
        <f t="shared" si="50"/>
        <v>89.251000000000005</v>
      </c>
      <c r="H768" s="148">
        <f t="shared" si="53"/>
        <v>0</v>
      </c>
      <c r="I768" s="138">
        <v>1</v>
      </c>
      <c r="J768" s="145">
        <f t="shared" si="51"/>
        <v>1</v>
      </c>
      <c r="K768" s="146">
        <f t="shared" si="52"/>
        <v>0</v>
      </c>
    </row>
    <row r="769" spans="1:11">
      <c r="A769" s="138">
        <f t="shared" si="49"/>
        <v>2.9177220000000004</v>
      </c>
      <c r="B769" s="138">
        <v>2917.7220000000002</v>
      </c>
      <c r="C769" s="138">
        <v>89.225999999999999</v>
      </c>
      <c r="D769" s="138">
        <v>10.773999999999999</v>
      </c>
      <c r="E769" s="138">
        <v>90.135999999999996</v>
      </c>
      <c r="F769" s="138">
        <v>9.8640000000000008</v>
      </c>
      <c r="G769" s="138">
        <f t="shared" si="50"/>
        <v>89.225999999999999</v>
      </c>
      <c r="H769" s="148">
        <f t="shared" si="53"/>
        <v>0</v>
      </c>
      <c r="I769" s="138">
        <v>1</v>
      </c>
      <c r="J769" s="145">
        <f t="shared" si="51"/>
        <v>1</v>
      </c>
      <c r="K769" s="146">
        <f t="shared" si="52"/>
        <v>0</v>
      </c>
    </row>
    <row r="770" spans="1:11">
      <c r="A770" s="138">
        <f t="shared" si="49"/>
        <v>2.9208859999999999</v>
      </c>
      <c r="B770" s="138">
        <v>2920.886</v>
      </c>
      <c r="C770" s="138">
        <v>89.200999999999993</v>
      </c>
      <c r="D770" s="138">
        <v>10.798999999999999</v>
      </c>
      <c r="E770" s="138">
        <v>90.114000000000004</v>
      </c>
      <c r="F770" s="138">
        <v>9.8859999999999992</v>
      </c>
      <c r="G770" s="138">
        <f t="shared" si="50"/>
        <v>89.200999999999993</v>
      </c>
      <c r="H770" s="148">
        <f t="shared" si="53"/>
        <v>0</v>
      </c>
      <c r="I770" s="138">
        <v>1</v>
      </c>
      <c r="J770" s="145">
        <f t="shared" si="51"/>
        <v>1</v>
      </c>
      <c r="K770" s="146">
        <f t="shared" si="52"/>
        <v>0</v>
      </c>
    </row>
    <row r="771" spans="1:11">
      <c r="A771" s="138">
        <f t="shared" si="49"/>
        <v>2.924051</v>
      </c>
      <c r="B771" s="138">
        <v>2924.0509999999999</v>
      </c>
      <c r="C771" s="138">
        <v>89.176000000000002</v>
      </c>
      <c r="D771" s="138">
        <v>10.824</v>
      </c>
      <c r="E771" s="138">
        <v>90.091999999999999</v>
      </c>
      <c r="F771" s="138">
        <v>9.9079999999999995</v>
      </c>
      <c r="G771" s="138">
        <f t="shared" si="50"/>
        <v>89.176000000000002</v>
      </c>
      <c r="H771" s="148">
        <f t="shared" si="53"/>
        <v>0</v>
      </c>
      <c r="I771" s="138">
        <v>1</v>
      </c>
      <c r="J771" s="145">
        <f t="shared" si="51"/>
        <v>1</v>
      </c>
      <c r="K771" s="146">
        <f t="shared" si="52"/>
        <v>0</v>
      </c>
    </row>
    <row r="772" spans="1:11">
      <c r="A772" s="138">
        <f t="shared" si="49"/>
        <v>2.9272150000000003</v>
      </c>
      <c r="B772" s="138">
        <v>2927.2150000000001</v>
      </c>
      <c r="C772" s="138">
        <v>89.150999999999996</v>
      </c>
      <c r="D772" s="138">
        <v>10.849</v>
      </c>
      <c r="E772" s="138">
        <v>90.07</v>
      </c>
      <c r="F772" s="138">
        <v>9.93</v>
      </c>
      <c r="G772" s="138">
        <f t="shared" si="50"/>
        <v>89.150999999999996</v>
      </c>
      <c r="H772" s="148">
        <f t="shared" si="53"/>
        <v>0</v>
      </c>
      <c r="I772" s="138">
        <v>1</v>
      </c>
      <c r="J772" s="145">
        <f t="shared" si="51"/>
        <v>1</v>
      </c>
      <c r="K772" s="146">
        <f t="shared" si="52"/>
        <v>0</v>
      </c>
    </row>
    <row r="773" spans="1:11">
      <c r="A773" s="138">
        <f t="shared" si="49"/>
        <v>2.93038</v>
      </c>
      <c r="B773" s="138">
        <v>2930.38</v>
      </c>
      <c r="C773" s="138">
        <v>89.126000000000005</v>
      </c>
      <c r="D773" s="138">
        <v>10.874000000000001</v>
      </c>
      <c r="E773" s="138">
        <v>90.049000000000007</v>
      </c>
      <c r="F773" s="138">
        <v>9.9510000000000005</v>
      </c>
      <c r="G773" s="138">
        <f t="shared" si="50"/>
        <v>89.126000000000005</v>
      </c>
      <c r="H773" s="148">
        <f t="shared" si="53"/>
        <v>0</v>
      </c>
      <c r="I773" s="138">
        <v>1</v>
      </c>
      <c r="J773" s="145">
        <f t="shared" si="51"/>
        <v>1</v>
      </c>
      <c r="K773" s="146">
        <f t="shared" si="52"/>
        <v>0</v>
      </c>
    </row>
    <row r="774" spans="1:11">
      <c r="A774" s="138">
        <f t="shared" ref="A774:A795" si="54">B774/1000</f>
        <v>2.9335439999999999</v>
      </c>
      <c r="B774" s="138">
        <v>2933.5439999999999</v>
      </c>
      <c r="C774" s="138">
        <v>89.100999999999999</v>
      </c>
      <c r="D774" s="138">
        <v>10.898999999999999</v>
      </c>
      <c r="E774" s="138">
        <v>90.027000000000001</v>
      </c>
      <c r="F774" s="138">
        <v>9.9730000000000008</v>
      </c>
      <c r="G774" s="138">
        <f t="shared" ref="G774:G795" si="55">MIN(C774,E774)</f>
        <v>89.100999999999999</v>
      </c>
      <c r="H774" s="148">
        <f t="shared" si="53"/>
        <v>0</v>
      </c>
      <c r="I774" s="138">
        <v>1</v>
      </c>
      <c r="J774" s="145">
        <f t="shared" ref="J774:J795" si="56">MIN(B774/1000*$M$1+$O$1,1)</f>
        <v>1</v>
      </c>
      <c r="K774" s="146">
        <f t="shared" si="52"/>
        <v>0</v>
      </c>
    </row>
    <row r="775" spans="1:11">
      <c r="A775" s="138">
        <f t="shared" si="54"/>
        <v>2.936709</v>
      </c>
      <c r="B775" s="138">
        <v>2936.7089999999998</v>
      </c>
      <c r="C775" s="138">
        <v>89.075999999999993</v>
      </c>
      <c r="D775" s="138">
        <v>10.923999999999999</v>
      </c>
      <c r="E775" s="138">
        <v>90.006</v>
      </c>
      <c r="F775" s="138">
        <v>9.9939999999999998</v>
      </c>
      <c r="G775" s="138">
        <f t="shared" si="55"/>
        <v>89.075999999999993</v>
      </c>
      <c r="H775" s="148">
        <f t="shared" si="53"/>
        <v>0</v>
      </c>
      <c r="I775" s="138">
        <v>1</v>
      </c>
      <c r="J775" s="145">
        <f t="shared" si="56"/>
        <v>1</v>
      </c>
      <c r="K775" s="146">
        <f t="shared" ref="K775:K795" si="57">G775*H775*I775*J775*$G$2/100</f>
        <v>0</v>
      </c>
    </row>
    <row r="776" spans="1:11">
      <c r="A776" s="138">
        <f t="shared" si="54"/>
        <v>2.939873</v>
      </c>
      <c r="B776" s="138">
        <v>2939.873</v>
      </c>
      <c r="C776" s="138">
        <v>89.051000000000002</v>
      </c>
      <c r="D776" s="138">
        <v>10.949</v>
      </c>
      <c r="E776" s="138">
        <v>89.983999999999995</v>
      </c>
      <c r="F776" s="138">
        <v>10.016</v>
      </c>
      <c r="G776" s="138">
        <f t="shared" si="55"/>
        <v>89.051000000000002</v>
      </c>
      <c r="H776" s="148">
        <f t="shared" si="53"/>
        <v>0</v>
      </c>
      <c r="I776" s="138">
        <v>1</v>
      </c>
      <c r="J776" s="145">
        <f t="shared" si="56"/>
        <v>1</v>
      </c>
      <c r="K776" s="146">
        <f t="shared" si="57"/>
        <v>0</v>
      </c>
    </row>
    <row r="777" spans="1:11">
      <c r="A777" s="138">
        <f t="shared" si="54"/>
        <v>2.943038</v>
      </c>
      <c r="B777" s="138">
        <v>2943.038</v>
      </c>
      <c r="C777" s="138">
        <v>89.025999999999996</v>
      </c>
      <c r="D777" s="138">
        <v>10.974</v>
      </c>
      <c r="E777" s="138">
        <v>89.962000000000003</v>
      </c>
      <c r="F777" s="138">
        <v>10.038</v>
      </c>
      <c r="G777" s="138">
        <f t="shared" si="55"/>
        <v>89.025999999999996</v>
      </c>
      <c r="H777" s="148">
        <f t="shared" si="53"/>
        <v>0</v>
      </c>
      <c r="I777" s="138">
        <v>1</v>
      </c>
      <c r="J777" s="145">
        <f t="shared" si="56"/>
        <v>1</v>
      </c>
      <c r="K777" s="146">
        <f t="shared" si="57"/>
        <v>0</v>
      </c>
    </row>
    <row r="778" spans="1:11">
      <c r="A778" s="138">
        <f t="shared" si="54"/>
        <v>2.9462030000000001</v>
      </c>
      <c r="B778" s="138">
        <v>2946.203</v>
      </c>
      <c r="C778" s="138">
        <v>89.001999999999995</v>
      </c>
      <c r="D778" s="138">
        <v>10.997999999999999</v>
      </c>
      <c r="E778" s="138">
        <v>89.941000000000003</v>
      </c>
      <c r="F778" s="138">
        <v>10.058999999999999</v>
      </c>
      <c r="G778" s="138">
        <f t="shared" si="55"/>
        <v>89.001999999999995</v>
      </c>
      <c r="H778" s="148">
        <f t="shared" si="53"/>
        <v>0</v>
      </c>
      <c r="I778" s="138">
        <v>1</v>
      </c>
      <c r="J778" s="145">
        <f t="shared" si="56"/>
        <v>1</v>
      </c>
      <c r="K778" s="146">
        <f t="shared" si="57"/>
        <v>0</v>
      </c>
    </row>
    <row r="779" spans="1:11">
      <c r="A779" s="138">
        <f t="shared" si="54"/>
        <v>2.9493670000000001</v>
      </c>
      <c r="B779" s="138">
        <v>2949.3670000000002</v>
      </c>
      <c r="C779" s="138">
        <v>88.977000000000004</v>
      </c>
      <c r="D779" s="138">
        <v>11.023</v>
      </c>
      <c r="E779" s="138">
        <v>89.92</v>
      </c>
      <c r="F779" s="138">
        <v>10.08</v>
      </c>
      <c r="G779" s="138">
        <f t="shared" si="55"/>
        <v>88.977000000000004</v>
      </c>
      <c r="H779" s="148">
        <f t="shared" si="53"/>
        <v>0</v>
      </c>
      <c r="I779" s="138">
        <v>1</v>
      </c>
      <c r="J779" s="145">
        <f t="shared" si="56"/>
        <v>1</v>
      </c>
      <c r="K779" s="146">
        <f t="shared" si="57"/>
        <v>0</v>
      </c>
    </row>
    <row r="780" spans="1:11">
      <c r="A780" s="138">
        <f t="shared" si="54"/>
        <v>2.9525320000000002</v>
      </c>
      <c r="B780" s="138">
        <v>2952.5320000000002</v>
      </c>
      <c r="C780" s="138">
        <v>88.951999999999998</v>
      </c>
      <c r="D780" s="138">
        <v>11.048</v>
      </c>
      <c r="E780" s="138">
        <v>89.897999999999996</v>
      </c>
      <c r="F780" s="138">
        <v>10.102</v>
      </c>
      <c r="G780" s="138">
        <f t="shared" si="55"/>
        <v>88.951999999999998</v>
      </c>
      <c r="H780" s="148">
        <f t="shared" si="53"/>
        <v>0</v>
      </c>
      <c r="I780" s="138">
        <v>1</v>
      </c>
      <c r="J780" s="145">
        <f t="shared" si="56"/>
        <v>1</v>
      </c>
      <c r="K780" s="146">
        <f t="shared" si="57"/>
        <v>0</v>
      </c>
    </row>
    <row r="781" spans="1:11">
      <c r="A781" s="138">
        <f t="shared" si="54"/>
        <v>2.9556960000000001</v>
      </c>
      <c r="B781" s="138">
        <v>2955.6959999999999</v>
      </c>
      <c r="C781" s="138">
        <v>88.927999999999997</v>
      </c>
      <c r="D781" s="138">
        <v>11.071999999999999</v>
      </c>
      <c r="E781" s="138">
        <v>89.876999999999995</v>
      </c>
      <c r="F781" s="138">
        <v>10.122999999999999</v>
      </c>
      <c r="G781" s="138">
        <f t="shared" si="55"/>
        <v>88.927999999999997</v>
      </c>
      <c r="H781" s="148">
        <f t="shared" si="53"/>
        <v>0</v>
      </c>
      <c r="I781" s="138">
        <v>1</v>
      </c>
      <c r="J781" s="145">
        <f t="shared" si="56"/>
        <v>1</v>
      </c>
      <c r="K781" s="146">
        <f t="shared" si="57"/>
        <v>0</v>
      </c>
    </row>
    <row r="782" spans="1:11">
      <c r="A782" s="138">
        <f t="shared" si="54"/>
        <v>2.9588609999999997</v>
      </c>
      <c r="B782" s="138">
        <v>2958.8609999999999</v>
      </c>
      <c r="C782" s="138">
        <v>88.903000000000006</v>
      </c>
      <c r="D782" s="138">
        <v>11.097</v>
      </c>
      <c r="E782" s="138">
        <v>89.855999999999995</v>
      </c>
      <c r="F782" s="138">
        <v>10.144</v>
      </c>
      <c r="G782" s="138">
        <f t="shared" si="55"/>
        <v>88.903000000000006</v>
      </c>
      <c r="H782" s="148">
        <f t="shared" si="53"/>
        <v>0</v>
      </c>
      <c r="I782" s="138">
        <v>1</v>
      </c>
      <c r="J782" s="145">
        <f t="shared" si="56"/>
        <v>1</v>
      </c>
      <c r="K782" s="146">
        <f t="shared" si="57"/>
        <v>0</v>
      </c>
    </row>
    <row r="783" spans="1:11">
      <c r="A783" s="138">
        <f t="shared" si="54"/>
        <v>2.9620250000000001</v>
      </c>
      <c r="B783" s="138">
        <v>2962.0250000000001</v>
      </c>
      <c r="C783" s="138">
        <v>88.879000000000005</v>
      </c>
      <c r="D783" s="138">
        <v>11.121</v>
      </c>
      <c r="E783" s="138">
        <v>89.834000000000003</v>
      </c>
      <c r="F783" s="138">
        <v>10.166</v>
      </c>
      <c r="G783" s="138">
        <f t="shared" si="55"/>
        <v>88.879000000000005</v>
      </c>
      <c r="H783" s="148">
        <f t="shared" si="53"/>
        <v>0</v>
      </c>
      <c r="I783" s="138">
        <v>1</v>
      </c>
      <c r="J783" s="145">
        <f t="shared" si="56"/>
        <v>1</v>
      </c>
      <c r="K783" s="146">
        <f t="shared" si="57"/>
        <v>0</v>
      </c>
    </row>
    <row r="784" spans="1:11">
      <c r="A784" s="138">
        <f t="shared" si="54"/>
        <v>2.9651900000000002</v>
      </c>
      <c r="B784" s="138">
        <v>2965.19</v>
      </c>
      <c r="C784" s="138">
        <v>88.853999999999999</v>
      </c>
      <c r="D784" s="138">
        <v>11.146000000000001</v>
      </c>
      <c r="E784" s="138">
        <v>89.813000000000002</v>
      </c>
      <c r="F784" s="138">
        <v>10.186999999999999</v>
      </c>
      <c r="G784" s="138">
        <f t="shared" si="55"/>
        <v>88.853999999999999</v>
      </c>
      <c r="H784" s="148">
        <f t="shared" si="53"/>
        <v>0</v>
      </c>
      <c r="I784" s="138">
        <v>1</v>
      </c>
      <c r="J784" s="145">
        <f t="shared" si="56"/>
        <v>1</v>
      </c>
      <c r="K784" s="146">
        <f t="shared" si="57"/>
        <v>0</v>
      </c>
    </row>
    <row r="785" spans="1:11">
      <c r="A785" s="138">
        <f t="shared" si="54"/>
        <v>2.9683539999999997</v>
      </c>
      <c r="B785" s="138">
        <v>2968.3539999999998</v>
      </c>
      <c r="C785" s="138">
        <v>88.83</v>
      </c>
      <c r="D785" s="138">
        <v>11.17</v>
      </c>
      <c r="E785" s="138">
        <v>89.792000000000002</v>
      </c>
      <c r="F785" s="138">
        <v>10.208</v>
      </c>
      <c r="G785" s="138">
        <f t="shared" si="55"/>
        <v>88.83</v>
      </c>
      <c r="H785" s="148">
        <f t="shared" si="53"/>
        <v>0</v>
      </c>
      <c r="I785" s="138">
        <v>1</v>
      </c>
      <c r="J785" s="145">
        <f t="shared" si="56"/>
        <v>1</v>
      </c>
      <c r="K785" s="146">
        <f t="shared" si="57"/>
        <v>0</v>
      </c>
    </row>
    <row r="786" spans="1:11">
      <c r="A786" s="138">
        <f t="shared" si="54"/>
        <v>2.9715189999999998</v>
      </c>
      <c r="B786" s="138">
        <v>2971.5189999999998</v>
      </c>
      <c r="C786" s="138">
        <v>88.805999999999997</v>
      </c>
      <c r="D786" s="138">
        <v>11.194000000000001</v>
      </c>
      <c r="E786" s="138">
        <v>89.771000000000001</v>
      </c>
      <c r="F786" s="138">
        <v>10.228999999999999</v>
      </c>
      <c r="G786" s="138">
        <f t="shared" si="55"/>
        <v>88.805999999999997</v>
      </c>
      <c r="H786" s="148">
        <f t="shared" si="53"/>
        <v>0</v>
      </c>
      <c r="I786" s="138">
        <v>1</v>
      </c>
      <c r="J786" s="145">
        <f t="shared" si="56"/>
        <v>1</v>
      </c>
      <c r="K786" s="146">
        <f t="shared" si="57"/>
        <v>0</v>
      </c>
    </row>
    <row r="787" spans="1:11">
      <c r="A787" s="138">
        <f t="shared" si="54"/>
        <v>2.9746840000000003</v>
      </c>
      <c r="B787" s="138">
        <v>2974.6840000000002</v>
      </c>
      <c r="C787" s="138">
        <v>88.781000000000006</v>
      </c>
      <c r="D787" s="138">
        <v>11.218999999999999</v>
      </c>
      <c r="E787" s="138">
        <v>89.75</v>
      </c>
      <c r="F787" s="138">
        <v>10.25</v>
      </c>
      <c r="G787" s="138">
        <f t="shared" si="55"/>
        <v>88.781000000000006</v>
      </c>
      <c r="H787" s="148">
        <f t="shared" si="53"/>
        <v>0</v>
      </c>
      <c r="I787" s="138">
        <v>1</v>
      </c>
      <c r="J787" s="145">
        <f t="shared" si="56"/>
        <v>1</v>
      </c>
      <c r="K787" s="146">
        <f t="shared" si="57"/>
        <v>0</v>
      </c>
    </row>
    <row r="788" spans="1:11">
      <c r="A788" s="138">
        <f t="shared" si="54"/>
        <v>2.9778479999999998</v>
      </c>
      <c r="B788" s="138">
        <v>2977.848</v>
      </c>
      <c r="C788" s="138">
        <v>88.757000000000005</v>
      </c>
      <c r="D788" s="138">
        <v>11.243</v>
      </c>
      <c r="E788" s="138">
        <v>89.728999999999999</v>
      </c>
      <c r="F788" s="138">
        <v>10.271000000000001</v>
      </c>
      <c r="G788" s="138">
        <f t="shared" si="55"/>
        <v>88.757000000000005</v>
      </c>
      <c r="H788" s="148">
        <f t="shared" si="53"/>
        <v>0</v>
      </c>
      <c r="I788" s="138">
        <v>1</v>
      </c>
      <c r="J788" s="145">
        <f t="shared" si="56"/>
        <v>1</v>
      </c>
      <c r="K788" s="146">
        <f t="shared" si="57"/>
        <v>0</v>
      </c>
    </row>
    <row r="789" spans="1:11">
      <c r="A789" s="138">
        <f t="shared" si="54"/>
        <v>2.9810129999999999</v>
      </c>
      <c r="B789" s="138">
        <v>2981.0129999999999</v>
      </c>
      <c r="C789" s="138">
        <v>88.733000000000004</v>
      </c>
      <c r="D789" s="138">
        <v>11.266999999999999</v>
      </c>
      <c r="E789" s="138">
        <v>89.707999999999998</v>
      </c>
      <c r="F789" s="138">
        <v>10.292</v>
      </c>
      <c r="G789" s="138">
        <f t="shared" si="55"/>
        <v>88.733000000000004</v>
      </c>
      <c r="H789" s="148">
        <f t="shared" si="53"/>
        <v>0</v>
      </c>
      <c r="I789" s="138">
        <v>1</v>
      </c>
      <c r="J789" s="145">
        <f t="shared" si="56"/>
        <v>1</v>
      </c>
      <c r="K789" s="146">
        <f t="shared" si="57"/>
        <v>0</v>
      </c>
    </row>
    <row r="790" spans="1:11">
      <c r="A790" s="138">
        <f t="shared" si="54"/>
        <v>2.9841770000000003</v>
      </c>
      <c r="B790" s="138">
        <v>2984.1770000000001</v>
      </c>
      <c r="C790" s="138">
        <v>88.709000000000003</v>
      </c>
      <c r="D790" s="138">
        <v>11.291</v>
      </c>
      <c r="E790" s="138">
        <v>89.686999999999998</v>
      </c>
      <c r="F790" s="138">
        <v>10.313000000000001</v>
      </c>
      <c r="G790" s="138">
        <f t="shared" si="55"/>
        <v>88.709000000000003</v>
      </c>
      <c r="H790" s="148">
        <f t="shared" si="53"/>
        <v>0</v>
      </c>
      <c r="I790" s="138">
        <v>1</v>
      </c>
      <c r="J790" s="145">
        <f t="shared" si="56"/>
        <v>1</v>
      </c>
      <c r="K790" s="146">
        <f t="shared" si="57"/>
        <v>0</v>
      </c>
    </row>
    <row r="791" spans="1:11">
      <c r="A791" s="138">
        <f t="shared" si="54"/>
        <v>2.9873419999999999</v>
      </c>
      <c r="B791" s="138">
        <v>2987.3420000000001</v>
      </c>
      <c r="C791" s="138">
        <v>88.685000000000002</v>
      </c>
      <c r="D791" s="138">
        <v>11.315</v>
      </c>
      <c r="E791" s="138">
        <v>89.665999999999997</v>
      </c>
      <c r="F791" s="138">
        <v>10.334</v>
      </c>
      <c r="G791" s="138">
        <f t="shared" si="55"/>
        <v>88.685000000000002</v>
      </c>
      <c r="H791" s="148">
        <f t="shared" si="53"/>
        <v>0</v>
      </c>
      <c r="I791" s="138">
        <v>1</v>
      </c>
      <c r="J791" s="145">
        <f t="shared" si="56"/>
        <v>1</v>
      </c>
      <c r="K791" s="146">
        <f t="shared" si="57"/>
        <v>0</v>
      </c>
    </row>
    <row r="792" spans="1:11">
      <c r="A792" s="138">
        <f t="shared" si="54"/>
        <v>2.9905059999999999</v>
      </c>
      <c r="B792" s="138">
        <v>2990.5059999999999</v>
      </c>
      <c r="C792" s="138">
        <v>88.661000000000001</v>
      </c>
      <c r="D792" s="138">
        <v>11.339</v>
      </c>
      <c r="E792" s="138">
        <v>89.644999999999996</v>
      </c>
      <c r="F792" s="138">
        <v>10.355</v>
      </c>
      <c r="G792" s="138">
        <f t="shared" si="55"/>
        <v>88.661000000000001</v>
      </c>
      <c r="H792" s="148">
        <f t="shared" si="53"/>
        <v>0</v>
      </c>
      <c r="I792" s="138">
        <v>1</v>
      </c>
      <c r="J792" s="145">
        <f t="shared" si="56"/>
        <v>1</v>
      </c>
      <c r="K792" s="146">
        <f t="shared" si="57"/>
        <v>0</v>
      </c>
    </row>
    <row r="793" spans="1:11">
      <c r="A793" s="138">
        <f t="shared" si="54"/>
        <v>2.993671</v>
      </c>
      <c r="B793" s="138">
        <v>2993.6709999999998</v>
      </c>
      <c r="C793" s="138">
        <v>88.637</v>
      </c>
      <c r="D793" s="138">
        <v>11.363</v>
      </c>
      <c r="E793" s="138">
        <v>89.623999999999995</v>
      </c>
      <c r="F793" s="138">
        <v>10.375999999999999</v>
      </c>
      <c r="G793" s="138">
        <f t="shared" si="55"/>
        <v>88.637</v>
      </c>
      <c r="H793" s="148">
        <f t="shared" si="53"/>
        <v>0</v>
      </c>
      <c r="I793" s="138">
        <v>1</v>
      </c>
      <c r="J793" s="145">
        <f t="shared" si="56"/>
        <v>1</v>
      </c>
      <c r="K793" s="146">
        <f t="shared" si="57"/>
        <v>0</v>
      </c>
    </row>
    <row r="794" spans="1:11">
      <c r="A794" s="138">
        <f t="shared" si="54"/>
        <v>2.9968349999999999</v>
      </c>
      <c r="B794" s="138">
        <v>2996.835</v>
      </c>
      <c r="C794" s="138">
        <v>88.613</v>
      </c>
      <c r="D794" s="138">
        <v>11.387</v>
      </c>
      <c r="E794" s="138">
        <v>89.603999999999999</v>
      </c>
      <c r="F794" s="138">
        <v>10.396000000000001</v>
      </c>
      <c r="G794" s="138">
        <f t="shared" si="55"/>
        <v>88.613</v>
      </c>
      <c r="H794" s="148">
        <f t="shared" si="53"/>
        <v>0</v>
      </c>
      <c r="I794" s="138">
        <v>1</v>
      </c>
      <c r="J794" s="145">
        <f t="shared" si="56"/>
        <v>1</v>
      </c>
      <c r="K794" s="146">
        <f t="shared" si="57"/>
        <v>0</v>
      </c>
    </row>
    <row r="795" spans="1:11">
      <c r="A795" s="138">
        <f t="shared" si="54"/>
        <v>3</v>
      </c>
      <c r="B795" s="138">
        <v>3000</v>
      </c>
      <c r="C795" s="138">
        <v>88.588999999999999</v>
      </c>
      <c r="D795" s="138">
        <v>11.411</v>
      </c>
      <c r="E795" s="138">
        <v>89.582999999999998</v>
      </c>
      <c r="F795" s="138">
        <v>10.417</v>
      </c>
      <c r="G795" s="138">
        <f t="shared" si="55"/>
        <v>88.588999999999999</v>
      </c>
      <c r="H795" s="148">
        <f t="shared" si="53"/>
        <v>0</v>
      </c>
      <c r="I795" s="138">
        <v>1</v>
      </c>
      <c r="J795" s="145">
        <f t="shared" si="56"/>
        <v>1</v>
      </c>
      <c r="K795" s="146">
        <f t="shared" si="57"/>
        <v>0</v>
      </c>
    </row>
  </sheetData>
  <sheetCalcPr fullCalcOnLoad="1"/>
  <phoneticPr fontId="26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9" enableFormatConditionsCalculation="0"/>
  <dimension ref="A28:S101"/>
  <sheetViews>
    <sheetView workbookViewId="0">
      <selection activeCell="C38" sqref="C38"/>
    </sheetView>
  </sheetViews>
  <sheetFormatPr baseColWidth="10" defaultColWidth="8.83203125" defaultRowHeight="12"/>
  <cols>
    <col min="16" max="16" width="9.33203125" bestFit="1" customWidth="1"/>
  </cols>
  <sheetData>
    <row r="28" spans="1:15">
      <c r="A28" t="s">
        <v>207</v>
      </c>
    </row>
    <row r="30" spans="1:15">
      <c r="A30" t="s">
        <v>205</v>
      </c>
      <c r="B30">
        <v>0.375</v>
      </c>
      <c r="C30">
        <f>B30+0.125</f>
        <v>0.5</v>
      </c>
      <c r="D30">
        <f t="shared" ref="D30:O30" si="0">C30+0.125</f>
        <v>0.625</v>
      </c>
      <c r="E30">
        <f t="shared" si="0"/>
        <v>0.75</v>
      </c>
      <c r="F30">
        <f t="shared" si="0"/>
        <v>0.875</v>
      </c>
      <c r="G30">
        <f t="shared" si="0"/>
        <v>1</v>
      </c>
      <c r="H30">
        <f t="shared" si="0"/>
        <v>1.125</v>
      </c>
      <c r="I30">
        <f t="shared" si="0"/>
        <v>1.25</v>
      </c>
      <c r="J30">
        <f t="shared" si="0"/>
        <v>1.375</v>
      </c>
      <c r="K30">
        <f t="shared" si="0"/>
        <v>1.5</v>
      </c>
      <c r="L30">
        <f t="shared" si="0"/>
        <v>1.625</v>
      </c>
      <c r="M30">
        <f t="shared" si="0"/>
        <v>1.75</v>
      </c>
      <c r="N30">
        <f t="shared" si="0"/>
        <v>1.875</v>
      </c>
      <c r="O30">
        <f t="shared" si="0"/>
        <v>2</v>
      </c>
    </row>
    <row r="31" spans="1:15">
      <c r="A31" t="s">
        <v>206</v>
      </c>
      <c r="B31">
        <v>0.6</v>
      </c>
      <c r="C31">
        <v>0.66</v>
      </c>
      <c r="D31">
        <v>0.81</v>
      </c>
      <c r="E31">
        <v>0.7</v>
      </c>
      <c r="F31">
        <v>0.85</v>
      </c>
      <c r="G31">
        <v>0.85</v>
      </c>
      <c r="H31">
        <v>0.82</v>
      </c>
      <c r="I31">
        <v>0.78</v>
      </c>
      <c r="J31">
        <v>0.79</v>
      </c>
      <c r="K31">
        <v>0.8</v>
      </c>
      <c r="L31">
        <v>0.81</v>
      </c>
      <c r="M31">
        <v>0.82</v>
      </c>
      <c r="N31">
        <v>0.88</v>
      </c>
      <c r="O31">
        <v>0.92</v>
      </c>
    </row>
    <row r="34" spans="15:18">
      <c r="O34" t="s">
        <v>164</v>
      </c>
      <c r="Q34">
        <v>0.1225</v>
      </c>
      <c r="R34">
        <v>0.64659999999999995</v>
      </c>
    </row>
    <row r="35" spans="15:18">
      <c r="O35">
        <v>0.4</v>
      </c>
      <c r="P35" s="3">
        <f>$Q$34*$O35+$R$34</f>
        <v>0.6956</v>
      </c>
    </row>
    <row r="36" spans="15:18">
      <c r="O36">
        <v>0.5</v>
      </c>
      <c r="P36" s="3">
        <f t="shared" ref="P36:P39" si="1">$Q$34*$O36+$R$34</f>
        <v>0.70784999999999998</v>
      </c>
    </row>
    <row r="37" spans="15:18">
      <c r="O37">
        <v>1</v>
      </c>
      <c r="P37" s="3">
        <f t="shared" si="1"/>
        <v>0.76909999999999989</v>
      </c>
    </row>
    <row r="38" spans="15:18">
      <c r="O38">
        <v>1.5</v>
      </c>
      <c r="P38" s="3">
        <f t="shared" si="1"/>
        <v>0.83034999999999992</v>
      </c>
    </row>
    <row r="39" spans="15:18">
      <c r="O39">
        <v>2</v>
      </c>
      <c r="P39" s="3">
        <f t="shared" si="1"/>
        <v>0.89159999999999995</v>
      </c>
    </row>
    <row r="47" spans="15:18">
      <c r="O47">
        <v>6</v>
      </c>
      <c r="P47">
        <v>-2.5672000000000001</v>
      </c>
    </row>
    <row r="48" spans="15:18">
      <c r="O48">
        <v>5</v>
      </c>
      <c r="P48" s="49">
        <v>20.571999999999999</v>
      </c>
    </row>
    <row r="49" spans="1:19">
      <c r="O49">
        <v>4</v>
      </c>
      <c r="P49" s="49">
        <v>-66.203000000000003</v>
      </c>
    </row>
    <row r="50" spans="1:19">
      <c r="O50">
        <v>3</v>
      </c>
      <c r="P50" s="49">
        <v>108.72</v>
      </c>
    </row>
    <row r="51" spans="1:19">
      <c r="O51">
        <v>2</v>
      </c>
      <c r="P51" s="49">
        <v>-95.311000000000007</v>
      </c>
    </row>
    <row r="52" spans="1:19">
      <c r="K52">
        <v>6.25E-2</v>
      </c>
      <c r="O52">
        <v>1</v>
      </c>
      <c r="P52" s="49">
        <v>41.99</v>
      </c>
    </row>
    <row r="53" spans="1:19">
      <c r="N53">
        <v>0.05</v>
      </c>
      <c r="O53">
        <v>0</v>
      </c>
      <c r="P53">
        <v>-6.3578999999999999</v>
      </c>
    </row>
    <row r="54" spans="1:19">
      <c r="A54" s="133" t="s">
        <v>74</v>
      </c>
    </row>
    <row r="55" spans="1:19">
      <c r="L55" s="133" t="s">
        <v>78</v>
      </c>
      <c r="M55" s="133" t="s">
        <v>75</v>
      </c>
      <c r="N55" s="133" t="s">
        <v>76</v>
      </c>
      <c r="O55" s="133" t="s">
        <v>77</v>
      </c>
      <c r="P55" s="133" t="s">
        <v>80</v>
      </c>
    </row>
    <row r="56" spans="1:19">
      <c r="L56" s="6">
        <v>0.4</v>
      </c>
      <c r="M56">
        <v>0.85</v>
      </c>
      <c r="N56" s="7">
        <f>M56-$N$53</f>
        <v>0.79999999999999993</v>
      </c>
      <c r="O56" s="7">
        <f>0.6466+0.1225*$L56</f>
        <v>0.6956</v>
      </c>
      <c r="P56" s="7">
        <f ca="1">OFFSET($P$53,0,0)+OFFSET($P$53,-1,0)*$L56+OFFSET($P$53,-2,0)*$L56^2+OFFSET($P$53,-3,0)*$L56^3+OFFSET($P$53,-4,0)*$L56^4+OFFSET($P$53,-5,0)*$L56^5+OFFSET($P$53,-6,0)*$L56^6</f>
        <v>0.65176522879999932</v>
      </c>
    </row>
    <row r="57" spans="1:19">
      <c r="L57" s="6">
        <f t="shared" ref="L57:L82" si="2">L56+$K$52</f>
        <v>0.46250000000000002</v>
      </c>
      <c r="M57">
        <f>0.5*(M56+M58)</f>
        <v>0.88749999999999996</v>
      </c>
      <c r="N57" s="7">
        <f t="shared" ref="N57:N82" si="3">M57-$N$53</f>
        <v>0.83749999999999991</v>
      </c>
      <c r="O57" s="7">
        <f t="shared" ref="O57:O82" si="4">0.6466+0.1225*$L57</f>
        <v>0.70325624999999992</v>
      </c>
      <c r="P57" s="7">
        <f>$P$53+$P$52*$L57+$P$51*$L57^2+$P$50*$L57^3+$P$49*$L57^4+$P$48*$L57^5+$P$47*$L57^6</f>
        <v>0.81174785287450923</v>
      </c>
    </row>
    <row r="58" spans="1:19">
      <c r="L58" s="6">
        <f t="shared" si="2"/>
        <v>0.52500000000000002</v>
      </c>
      <c r="M58">
        <v>0.92500000000000004</v>
      </c>
      <c r="N58" s="7">
        <f t="shared" si="3"/>
        <v>0.875</v>
      </c>
      <c r="O58" s="7">
        <f t="shared" si="4"/>
        <v>0.71091249999999995</v>
      </c>
      <c r="P58" s="7">
        <f>$P$53+$P$52*$L58+$P$51*$L58^2+$P$50*$L58^3+$P$49*$L58^4+$P$48*$L58^5+$P$47*$L58^6</f>
        <v>0.88622928131073997</v>
      </c>
    </row>
    <row r="59" spans="1:19">
      <c r="L59" s="6">
        <f t="shared" si="2"/>
        <v>0.58750000000000002</v>
      </c>
      <c r="M59">
        <f>0.5*(M58+M60)</f>
        <v>0.94750000000000001</v>
      </c>
      <c r="N59" s="7">
        <f t="shared" si="3"/>
        <v>0.89749999999999996</v>
      </c>
      <c r="O59" s="7">
        <f t="shared" si="4"/>
        <v>0.71856874999999998</v>
      </c>
      <c r="P59" s="7">
        <f t="shared" ref="P59:P82" si="5">$P$53+$P$52*$L59+$P$51*$L59^2+$P$50*$L59^3+$P$49*$L59^4+$P$48*$L59^5+$P$47*$L59^6</f>
        <v>0.90753519917492143</v>
      </c>
    </row>
    <row r="60" spans="1:19">
      <c r="L60" s="6">
        <f t="shared" si="2"/>
        <v>0.65</v>
      </c>
      <c r="M60">
        <v>0.97</v>
      </c>
      <c r="N60" s="7">
        <f t="shared" si="3"/>
        <v>0.91999999999999993</v>
      </c>
      <c r="O60" s="7">
        <f t="shared" si="4"/>
        <v>0.7262249999999999</v>
      </c>
      <c r="P60" s="7">
        <f t="shared" si="5"/>
        <v>0.89961772898749448</v>
      </c>
    </row>
    <row r="61" spans="1:19">
      <c r="L61" s="6">
        <f t="shared" si="2"/>
        <v>0.71250000000000002</v>
      </c>
      <c r="M61">
        <f>0.5*(M60+M62)</f>
        <v>0.93500000000000005</v>
      </c>
      <c r="N61" s="7">
        <f t="shared" si="3"/>
        <v>0.88500000000000001</v>
      </c>
      <c r="O61" s="7">
        <f t="shared" si="4"/>
        <v>0.73388124999999993</v>
      </c>
      <c r="P61" s="7">
        <f t="shared" si="5"/>
        <v>0.87942917606920457</v>
      </c>
    </row>
    <row r="62" spans="1:19">
      <c r="L62" s="6">
        <f t="shared" si="2"/>
        <v>0.77500000000000002</v>
      </c>
      <c r="M62">
        <v>0.9</v>
      </c>
      <c r="N62" s="7">
        <f t="shared" si="3"/>
        <v>0.85</v>
      </c>
      <c r="O62" s="7">
        <f t="shared" si="4"/>
        <v>0.74153749999999996</v>
      </c>
      <c r="P62" s="7">
        <f t="shared" si="5"/>
        <v>0.8581856016154259</v>
      </c>
      <c r="S62">
        <f ca="1">OFFSET(P53,-1,0)</f>
        <v>41.99</v>
      </c>
    </row>
    <row r="63" spans="1:19">
      <c r="L63" s="6">
        <f t="shared" si="2"/>
        <v>0.83750000000000002</v>
      </c>
      <c r="M63">
        <v>0.88500000000000001</v>
      </c>
      <c r="N63" s="7">
        <f t="shared" si="3"/>
        <v>0.83499999999999996</v>
      </c>
      <c r="O63" s="7">
        <f t="shared" si="4"/>
        <v>0.74919374999999999</v>
      </c>
      <c r="P63" s="7">
        <f t="shared" si="5"/>
        <v>0.84252022349877509</v>
      </c>
    </row>
    <row r="64" spans="1:19">
      <c r="L64" s="6">
        <f t="shared" si="2"/>
        <v>0.9</v>
      </c>
      <c r="M64">
        <v>0.88</v>
      </c>
      <c r="N64" s="7">
        <f t="shared" si="3"/>
        <v>0.83</v>
      </c>
      <c r="O64" s="7">
        <f t="shared" si="4"/>
        <v>0.75684999999999991</v>
      </c>
      <c r="P64" s="7">
        <f t="shared" si="5"/>
        <v>0.83552664479999095</v>
      </c>
    </row>
    <row r="65" spans="12:16">
      <c r="L65" s="6">
        <f t="shared" si="2"/>
        <v>0.96250000000000002</v>
      </c>
      <c r="M65">
        <f>0.5*(M64+M66)</f>
        <v>0.89250000000000007</v>
      </c>
      <c r="N65" s="7">
        <f t="shared" si="3"/>
        <v>0.84250000000000003</v>
      </c>
      <c r="O65" s="7">
        <f t="shared" si="4"/>
        <v>0.76450624999999994</v>
      </c>
      <c r="P65" s="7">
        <f t="shared" si="5"/>
        <v>0.83769191006712962</v>
      </c>
    </row>
    <row r="66" spans="12:16">
      <c r="L66" s="6">
        <f t="shared" si="2"/>
        <v>1.0249999999999999</v>
      </c>
      <c r="M66">
        <v>0.90500000000000003</v>
      </c>
      <c r="N66" s="7">
        <f t="shared" si="3"/>
        <v>0.85499999999999998</v>
      </c>
      <c r="O66" s="7">
        <f t="shared" si="4"/>
        <v>0.77216249999999997</v>
      </c>
      <c r="P66" s="7">
        <f t="shared" si="5"/>
        <v>0.84771938930292468</v>
      </c>
    </row>
    <row r="67" spans="12:16">
      <c r="L67" s="6">
        <f t="shared" si="2"/>
        <v>1.0874999999999999</v>
      </c>
      <c r="M67">
        <f>0.5*(M66+M68)</f>
        <v>0.92249999999999999</v>
      </c>
      <c r="N67" s="7">
        <f t="shared" si="3"/>
        <v>0.87249999999999994</v>
      </c>
      <c r="O67" s="7">
        <f t="shared" si="4"/>
        <v>0.77981875</v>
      </c>
      <c r="P67" s="7">
        <f t="shared" si="5"/>
        <v>0.86324148968054448</v>
      </c>
    </row>
    <row r="68" spans="12:16">
      <c r="L68" s="6">
        <f t="shared" si="2"/>
        <v>1.1499999999999999</v>
      </c>
      <c r="M68">
        <v>0.94</v>
      </c>
      <c r="N68" s="7">
        <f t="shared" si="3"/>
        <v>0.8899999999999999</v>
      </c>
      <c r="O68" s="7">
        <f t="shared" si="4"/>
        <v>0.78747499999999993</v>
      </c>
      <c r="P68" s="7">
        <f t="shared" si="5"/>
        <v>0.88142219498748986</v>
      </c>
    </row>
    <row r="69" spans="12:16">
      <c r="L69" s="6">
        <f t="shared" si="2"/>
        <v>1.2124999999999999</v>
      </c>
      <c r="M69">
        <f>0.5*(M68+M70)</f>
        <v>0.95499999999999996</v>
      </c>
      <c r="N69" s="7">
        <f t="shared" si="3"/>
        <v>0.90499999999999992</v>
      </c>
      <c r="O69" s="7">
        <f t="shared" si="4"/>
        <v>0.79513124999999996</v>
      </c>
      <c r="P69" s="7">
        <f t="shared" si="5"/>
        <v>0.89944943279792433</v>
      </c>
    </row>
    <row r="70" spans="12:16">
      <c r="L70" s="6">
        <f t="shared" si="2"/>
        <v>1.2749999999999999</v>
      </c>
      <c r="M70">
        <v>0.97</v>
      </c>
      <c r="N70" s="7">
        <f t="shared" si="3"/>
        <v>0.91999999999999993</v>
      </c>
      <c r="O70" s="7">
        <f t="shared" si="4"/>
        <v>0.80278749999999999</v>
      </c>
      <c r="P70" s="7">
        <f t="shared" si="5"/>
        <v>0.91491726937318418</v>
      </c>
    </row>
    <row r="71" spans="12:16">
      <c r="L71" s="6">
        <f t="shared" si="2"/>
        <v>1.3374999999999999</v>
      </c>
      <c r="M71">
        <f>0.5*(M70+M72)</f>
        <v>0.97499999999999998</v>
      </c>
      <c r="N71" s="7">
        <f t="shared" si="3"/>
        <v>0.92499999999999993</v>
      </c>
      <c r="O71" s="7">
        <f t="shared" si="4"/>
        <v>0.81044374999999991</v>
      </c>
      <c r="P71" s="7">
        <f t="shared" si="5"/>
        <v>0.92609793229053672</v>
      </c>
    </row>
    <row r="72" spans="12:16">
      <c r="L72" s="6">
        <f t="shared" si="2"/>
        <v>1.4</v>
      </c>
      <c r="M72">
        <v>0.98</v>
      </c>
      <c r="N72" s="7">
        <f t="shared" si="3"/>
        <v>0.92999999999999994</v>
      </c>
      <c r="O72" s="7">
        <f t="shared" si="4"/>
        <v>0.81809999999999994</v>
      </c>
      <c r="P72" s="7">
        <f t="shared" si="5"/>
        <v>0.93210366079998863</v>
      </c>
    </row>
    <row r="73" spans="12:16">
      <c r="L73" s="6">
        <f t="shared" si="2"/>
        <v>1.4624999999999999</v>
      </c>
      <c r="M73">
        <f>0.5*(M72+M74)</f>
        <v>0.98249999999999993</v>
      </c>
      <c r="N73" s="7">
        <f t="shared" si="3"/>
        <v>0.93249999999999988</v>
      </c>
      <c r="O73" s="7">
        <f t="shared" si="4"/>
        <v>0.82575624999999997</v>
      </c>
      <c r="P73" s="7">
        <f t="shared" si="5"/>
        <v>0.93293838391008066</v>
      </c>
    </row>
    <row r="74" spans="12:16">
      <c r="L74" s="6">
        <f t="shared" si="2"/>
        <v>1.5249999999999999</v>
      </c>
      <c r="M74">
        <v>0.98499999999999999</v>
      </c>
      <c r="N74" s="7">
        <f t="shared" si="3"/>
        <v>0.93499999999999994</v>
      </c>
      <c r="O74" s="7">
        <f t="shared" si="4"/>
        <v>0.83341249999999989</v>
      </c>
      <c r="P74" s="7">
        <f t="shared" si="5"/>
        <v>0.92943922620133179</v>
      </c>
    </row>
    <row r="75" spans="12:16">
      <c r="L75" s="6">
        <f t="shared" si="2"/>
        <v>1.5874999999999999</v>
      </c>
      <c r="M75">
        <f>0.5*(M74+M76)</f>
        <v>0.98</v>
      </c>
      <c r="N75" s="7">
        <f t="shared" si="3"/>
        <v>0.92999999999999994</v>
      </c>
      <c r="O75" s="7">
        <f t="shared" si="4"/>
        <v>0.84106874999999992</v>
      </c>
      <c r="P75" s="7">
        <f t="shared" si="5"/>
        <v>0.92310784136778068</v>
      </c>
    </row>
    <row r="76" spans="12:16">
      <c r="L76" s="6">
        <f t="shared" si="2"/>
        <v>1.65</v>
      </c>
      <c r="M76">
        <v>0.97499999999999998</v>
      </c>
      <c r="N76" s="7">
        <f t="shared" si="3"/>
        <v>0.92499999999999993</v>
      </c>
      <c r="O76" s="7">
        <f t="shared" si="4"/>
        <v>0.84872499999999995</v>
      </c>
      <c r="P76" s="7">
        <f t="shared" si="5"/>
        <v>0.91583157348747335</v>
      </c>
    </row>
    <row r="77" spans="12:16">
      <c r="L77" s="6">
        <f t="shared" si="2"/>
        <v>1.7124999999999999</v>
      </c>
      <c r="M77">
        <f>0.5*(M76+M78)</f>
        <v>0.97</v>
      </c>
      <c r="N77" s="7">
        <f t="shared" si="3"/>
        <v>0.91999999999999993</v>
      </c>
      <c r="O77" s="7">
        <f t="shared" si="4"/>
        <v>0.85638124999999987</v>
      </c>
      <c r="P77" s="7">
        <f t="shared" si="5"/>
        <v>0.90949444602087226</v>
      </c>
    </row>
    <row r="78" spans="12:16">
      <c r="L78" s="6">
        <f t="shared" si="2"/>
        <v>1.7749999999999999</v>
      </c>
      <c r="M78">
        <v>0.96499999999999997</v>
      </c>
      <c r="N78" s="7">
        <f t="shared" si="3"/>
        <v>0.91499999999999992</v>
      </c>
      <c r="O78" s="7">
        <f t="shared" si="4"/>
        <v>0.8640374999999999</v>
      </c>
      <c r="P78" s="7">
        <f t="shared" si="5"/>
        <v>0.90547797853716361</v>
      </c>
    </row>
    <row r="79" spans="12:16">
      <c r="L79" s="6">
        <f t="shared" si="2"/>
        <v>1.8374999999999999</v>
      </c>
      <c r="M79">
        <f>0.5*(M78+M80)</f>
        <v>0.96</v>
      </c>
      <c r="N79" s="7">
        <f t="shared" si="3"/>
        <v>0.90999999999999992</v>
      </c>
      <c r="O79" s="7">
        <f t="shared" si="4"/>
        <v>0.87169374999999993</v>
      </c>
      <c r="P79" s="7">
        <f t="shared" si="5"/>
        <v>0.90405183117016463</v>
      </c>
    </row>
    <row r="80" spans="12:16">
      <c r="L80" s="6">
        <f t="shared" si="2"/>
        <v>1.9</v>
      </c>
      <c r="M80">
        <v>0.95499999999999996</v>
      </c>
      <c r="N80" s="7">
        <f t="shared" si="3"/>
        <v>0.90499999999999992</v>
      </c>
      <c r="O80" s="7">
        <f t="shared" si="4"/>
        <v>0.87934999999999997</v>
      </c>
      <c r="P80" s="7">
        <f t="shared" si="5"/>
        <v>0.90365427679972754</v>
      </c>
    </row>
    <row r="81" spans="1:17">
      <c r="L81" s="6">
        <f t="shared" si="2"/>
        <v>1.9624999999999999</v>
      </c>
      <c r="M81">
        <f>0.5*(M80+M82)</f>
        <v>0.95</v>
      </c>
      <c r="N81" s="7">
        <f t="shared" si="3"/>
        <v>0.89999999999999991</v>
      </c>
      <c r="O81" s="7">
        <f t="shared" si="4"/>
        <v>0.88700625</v>
      </c>
      <c r="P81" s="7">
        <f t="shared" si="5"/>
        <v>0.90006250096601548</v>
      </c>
    </row>
    <row r="82" spans="1:17">
      <c r="L82" s="6">
        <f t="shared" si="2"/>
        <v>2.0249999999999999</v>
      </c>
      <c r="M82">
        <v>0.94499999999999995</v>
      </c>
      <c r="N82" s="7">
        <f t="shared" si="3"/>
        <v>0.89499999999999991</v>
      </c>
      <c r="O82" s="7">
        <f t="shared" si="4"/>
        <v>0.89466249999999992</v>
      </c>
      <c r="P82" s="7">
        <f t="shared" si="5"/>
        <v>0.88545272950585741</v>
      </c>
    </row>
    <row r="84" spans="1:17">
      <c r="K84" s="133" t="s">
        <v>79</v>
      </c>
      <c r="M84" s="7">
        <f>AVERAGE(M60:M81)</f>
        <v>0.94693181818181815</v>
      </c>
      <c r="N84" s="7">
        <f>AVERAGE(N60:N81)</f>
        <v>0.89693181818181811</v>
      </c>
      <c r="O84" s="7">
        <f>AVERAGE(O60:O81)</f>
        <v>0.80661562499999984</v>
      </c>
      <c r="P84" s="7">
        <f>AVERAGE(P60:P81)</f>
        <v>0.89281730512414659</v>
      </c>
    </row>
    <row r="85" spans="1:17">
      <c r="A85" t="s">
        <v>16</v>
      </c>
    </row>
    <row r="87" spans="1:17" ht="14">
      <c r="P87" s="172" t="s">
        <v>17</v>
      </c>
      <c r="Q87" s="133" t="s">
        <v>76</v>
      </c>
    </row>
    <row r="88" spans="1:17">
      <c r="P88">
        <v>0.35</v>
      </c>
      <c r="Q88">
        <v>0.5</v>
      </c>
    </row>
    <row r="89" spans="1:17">
      <c r="P89">
        <f>P88+$O$95</f>
        <v>0.39999999999999997</v>
      </c>
      <c r="Q89">
        <v>0.8</v>
      </c>
    </row>
    <row r="90" spans="1:17">
      <c r="P90">
        <f t="shared" ref="P90:P101" si="6">P89+$O$95</f>
        <v>0.44999999999999996</v>
      </c>
      <c r="Q90">
        <v>0.82</v>
      </c>
    </row>
    <row r="91" spans="1:17">
      <c r="P91">
        <f t="shared" si="6"/>
        <v>0.49999999999999994</v>
      </c>
      <c r="Q91">
        <v>0.85</v>
      </c>
    </row>
    <row r="92" spans="1:17">
      <c r="P92">
        <f t="shared" si="6"/>
        <v>0.54999999999999993</v>
      </c>
      <c r="Q92">
        <v>0.87</v>
      </c>
    </row>
    <row r="93" spans="1:17">
      <c r="P93">
        <f t="shared" si="6"/>
        <v>0.6</v>
      </c>
      <c r="Q93">
        <v>0.88</v>
      </c>
    </row>
    <row r="94" spans="1:17">
      <c r="P94">
        <f t="shared" si="6"/>
        <v>0.65</v>
      </c>
      <c r="Q94">
        <v>0.88</v>
      </c>
    </row>
    <row r="95" spans="1:17">
      <c r="O95">
        <v>0.05</v>
      </c>
      <c r="P95">
        <f t="shared" si="6"/>
        <v>0.70000000000000007</v>
      </c>
      <c r="Q95">
        <v>0.87</v>
      </c>
    </row>
    <row r="96" spans="1:17">
      <c r="P96">
        <f t="shared" si="6"/>
        <v>0.75000000000000011</v>
      </c>
      <c r="Q96">
        <v>0.86</v>
      </c>
    </row>
    <row r="97" spans="16:17">
      <c r="P97">
        <f t="shared" si="6"/>
        <v>0.80000000000000016</v>
      </c>
      <c r="Q97">
        <v>0.8</v>
      </c>
    </row>
    <row r="98" spans="16:17">
      <c r="P98">
        <f t="shared" si="6"/>
        <v>0.8500000000000002</v>
      </c>
      <c r="Q98">
        <v>0.7</v>
      </c>
    </row>
    <row r="99" spans="16:17">
      <c r="P99">
        <f t="shared" si="6"/>
        <v>0.90000000000000024</v>
      </c>
      <c r="Q99">
        <v>0.5</v>
      </c>
    </row>
    <row r="100" spans="16:17">
      <c r="P100">
        <f t="shared" si="6"/>
        <v>0.95000000000000029</v>
      </c>
      <c r="Q100">
        <v>0.3</v>
      </c>
    </row>
    <row r="101" spans="16:17">
      <c r="P101">
        <f t="shared" si="6"/>
        <v>1.0000000000000002</v>
      </c>
      <c r="Q101">
        <v>0.2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1" enableFormatConditionsCalculation="0"/>
  <dimension ref="A2:N48"/>
  <sheetViews>
    <sheetView topLeftCell="A14" workbookViewId="0">
      <selection activeCell="E51" sqref="E51"/>
    </sheetView>
  </sheetViews>
  <sheetFormatPr baseColWidth="10" defaultColWidth="8.83203125" defaultRowHeight="12"/>
  <cols>
    <col min="1" max="1" width="9.5" bestFit="1" customWidth="1"/>
  </cols>
  <sheetData>
    <row r="2" spans="1:14">
      <c r="A2" t="s">
        <v>338</v>
      </c>
      <c r="B2" t="s">
        <v>232</v>
      </c>
    </row>
    <row r="3" spans="1:14">
      <c r="E3" s="6"/>
      <c r="I3" s="6"/>
      <c r="J3" s="6"/>
      <c r="K3" s="6"/>
      <c r="M3" s="7"/>
      <c r="N3" s="7"/>
    </row>
    <row r="4" spans="1:14">
      <c r="A4" s="42"/>
      <c r="B4" t="s">
        <v>326</v>
      </c>
    </row>
    <row r="5" spans="1:14">
      <c r="A5" s="18"/>
      <c r="B5" t="s">
        <v>327</v>
      </c>
    </row>
    <row r="6" spans="1:14">
      <c r="A6" s="18"/>
      <c r="B6" t="s">
        <v>250</v>
      </c>
    </row>
    <row r="7" spans="1:14">
      <c r="A7" s="18"/>
      <c r="B7" t="s">
        <v>328</v>
      </c>
    </row>
    <row r="8" spans="1:14">
      <c r="A8" s="18"/>
      <c r="C8" t="s">
        <v>366</v>
      </c>
    </row>
    <row r="9" spans="1:14">
      <c r="A9" s="18"/>
      <c r="C9" t="s">
        <v>329</v>
      </c>
    </row>
    <row r="10" spans="1:14">
      <c r="A10" s="28"/>
      <c r="C10" t="s">
        <v>223</v>
      </c>
    </row>
    <row r="11" spans="1:14">
      <c r="C11" t="s">
        <v>224</v>
      </c>
    </row>
    <row r="12" spans="1:14">
      <c r="C12" t="s">
        <v>225</v>
      </c>
    </row>
    <row r="13" spans="1:14">
      <c r="C13" t="s">
        <v>226</v>
      </c>
    </row>
    <row r="14" spans="1:14">
      <c r="C14" t="s">
        <v>227</v>
      </c>
    </row>
    <row r="16" spans="1:14">
      <c r="B16" t="s">
        <v>228</v>
      </c>
    </row>
    <row r="18" spans="1:3">
      <c r="B18" t="s">
        <v>229</v>
      </c>
    </row>
    <row r="19" spans="1:3">
      <c r="B19" t="s">
        <v>230</v>
      </c>
    </row>
    <row r="21" spans="1:3">
      <c r="B21" t="s">
        <v>231</v>
      </c>
    </row>
    <row r="23" spans="1:3">
      <c r="B23" t="s">
        <v>249</v>
      </c>
    </row>
    <row r="25" spans="1:3">
      <c r="B25" s="28">
        <v>39853</v>
      </c>
      <c r="C25" t="s">
        <v>251</v>
      </c>
    </row>
    <row r="27" spans="1:3">
      <c r="A27" s="28">
        <v>40009</v>
      </c>
    </row>
    <row r="28" spans="1:3">
      <c r="A28" t="s">
        <v>198</v>
      </c>
    </row>
    <row r="29" spans="1:3">
      <c r="A29" t="s">
        <v>199</v>
      </c>
    </row>
    <row r="30" spans="1:3">
      <c r="A30" t="s">
        <v>200</v>
      </c>
    </row>
    <row r="31" spans="1:3">
      <c r="A31" t="s">
        <v>201</v>
      </c>
    </row>
    <row r="32" spans="1:3">
      <c r="A32" t="s">
        <v>202</v>
      </c>
    </row>
    <row r="33" spans="1:1">
      <c r="A33" s="1" t="s">
        <v>208</v>
      </c>
    </row>
    <row r="34" spans="1:1">
      <c r="A34" t="s">
        <v>203</v>
      </c>
    </row>
    <row r="35" spans="1:1">
      <c r="A35" t="s">
        <v>204</v>
      </c>
    </row>
    <row r="37" spans="1:1">
      <c r="A37" s="28">
        <v>40010</v>
      </c>
    </row>
    <row r="38" spans="1:1">
      <c r="A38" t="s">
        <v>209</v>
      </c>
    </row>
    <row r="40" spans="1:1">
      <c r="A40" s="28">
        <v>40697</v>
      </c>
    </row>
    <row r="41" spans="1:1">
      <c r="A41" t="s">
        <v>46</v>
      </c>
    </row>
    <row r="43" spans="1:1">
      <c r="A43" s="28">
        <v>40714</v>
      </c>
    </row>
    <row r="44" spans="1:1">
      <c r="A44" s="133" t="s">
        <v>71</v>
      </c>
    </row>
    <row r="45" spans="1:1">
      <c r="A45" s="133" t="s">
        <v>72</v>
      </c>
    </row>
    <row r="47" spans="1:1">
      <c r="A47" s="28">
        <v>40948</v>
      </c>
    </row>
    <row r="48" spans="1:1">
      <c r="A48" t="s">
        <v>84</v>
      </c>
    </row>
  </sheetData>
  <sheetCalcPr fullCalcOnLoad="1"/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3" enableFormatConditionsCalculation="0">
    <pageSetUpPr fitToPage="1"/>
  </sheetPr>
  <dimension ref="A1:U1343"/>
  <sheetViews>
    <sheetView topLeftCell="A312" workbookViewId="0">
      <selection activeCell="O356" sqref="O356"/>
    </sheetView>
  </sheetViews>
  <sheetFormatPr baseColWidth="10" defaultColWidth="8.83203125" defaultRowHeight="12"/>
  <cols>
    <col min="4" max="4" width="9.83203125" bestFit="1" customWidth="1"/>
    <col min="13" max="13" width="9.6640625" bestFit="1" customWidth="1"/>
    <col min="16" max="16" width="10.6640625" style="6" customWidth="1"/>
  </cols>
  <sheetData>
    <row r="1" spans="1:16">
      <c r="M1" t="s">
        <v>233</v>
      </c>
      <c r="O1" s="133" t="s">
        <v>333</v>
      </c>
      <c r="P1" s="6" t="s">
        <v>181</v>
      </c>
    </row>
    <row r="2" spans="1:16">
      <c r="A2" t="s">
        <v>332</v>
      </c>
      <c r="B2" t="s">
        <v>306</v>
      </c>
      <c r="C2" t="s">
        <v>308</v>
      </c>
      <c r="D2" t="s">
        <v>233</v>
      </c>
      <c r="L2" t="s">
        <v>242</v>
      </c>
      <c r="M2" t="s">
        <v>243</v>
      </c>
    </row>
    <row r="3" spans="1:16">
      <c r="A3">
        <v>0.38</v>
      </c>
      <c r="B3">
        <v>0.84</v>
      </c>
      <c r="D3" s="6">
        <f>MIN($M$3*$A3^6+$M$5*$A3^5+$M$6*$A3^4+$M$7*$A3^3+$M$9*$A3^2+$M$11*$A3+$M$13)</f>
        <v>0.85144105976519624</v>
      </c>
      <c r="L3">
        <v>6</v>
      </c>
      <c r="M3" s="49">
        <v>-1.4890000000000001E-3</v>
      </c>
      <c r="O3">
        <v>0.2</v>
      </c>
      <c r="P3" s="6">
        <f>B143/100</f>
        <v>0.10654663975000001</v>
      </c>
    </row>
    <row r="4" spans="1:16">
      <c r="A4">
        <v>0.4</v>
      </c>
      <c r="D4" s="6">
        <f>MIN($M$3*$A4^6+$M$5*$A4^5+$M$6*$A4^4+$M$7*$A4^3+$M$9*$A4^2+$M$11*$A4+$M$13)</f>
        <v>0.86040679065600001</v>
      </c>
      <c r="M4" s="49"/>
      <c r="O4">
        <v>0.20200000000000001</v>
      </c>
      <c r="P4" s="6">
        <f t="shared" ref="P4:P67" si="0">B144/100</f>
        <v>0.11703004929999999</v>
      </c>
    </row>
    <row r="5" spans="1:16">
      <c r="A5">
        <v>0.43</v>
      </c>
      <c r="B5">
        <v>0.87</v>
      </c>
      <c r="D5" s="6">
        <f t="shared" ref="D5:D47" si="1">MIN($M$3*$A5^6+$M$5*$A5^5+$M$6*$A5^4+$M$7*$A5^3+$M$9*$A5^2+$M$11*$A5+$M$13)</f>
        <v>0.87298623687799215</v>
      </c>
      <c r="L5">
        <v>5</v>
      </c>
      <c r="M5" s="49">
        <v>2.6040000000000001E-2</v>
      </c>
      <c r="O5">
        <v>0.20399999999999999</v>
      </c>
      <c r="P5" s="6">
        <f t="shared" si="0"/>
        <v>0.1045573263</v>
      </c>
    </row>
    <row r="6" spans="1:16">
      <c r="A6">
        <v>0.47</v>
      </c>
      <c r="B6">
        <v>0.9</v>
      </c>
      <c r="D6" s="6">
        <f t="shared" si="1"/>
        <v>0.88823098518860311</v>
      </c>
      <c r="L6">
        <v>4</v>
      </c>
      <c r="M6" s="49">
        <v>-0.18079999999999999</v>
      </c>
      <c r="O6">
        <v>0.20599999999999999</v>
      </c>
      <c r="P6" s="6">
        <f t="shared" si="0"/>
        <v>0.10417105735</v>
      </c>
    </row>
    <row r="7" spans="1:16">
      <c r="A7">
        <v>0.5</v>
      </c>
      <c r="B7">
        <v>0.92</v>
      </c>
      <c r="C7">
        <v>0.42</v>
      </c>
      <c r="D7" s="6">
        <f t="shared" si="1"/>
        <v>0.89859423437500008</v>
      </c>
      <c r="L7">
        <v>3</v>
      </c>
      <c r="M7" s="49">
        <v>0.63522999999999996</v>
      </c>
      <c r="O7">
        <v>0.20799999999999999</v>
      </c>
      <c r="P7" s="6">
        <f t="shared" si="0"/>
        <v>8.5538697300000008E-2</v>
      </c>
    </row>
    <row r="8" spans="1:16">
      <c r="A8">
        <f>0.5*(A7+A9)</f>
        <v>0.55000000000000004</v>
      </c>
      <c r="B8">
        <f>0.5*(B7+B9)</f>
        <v>0.92500000000000004</v>
      </c>
      <c r="C8">
        <f>0.5*(C7+C9)</f>
        <v>0.67</v>
      </c>
      <c r="D8" s="6">
        <f t="shared" si="1"/>
        <v>0.91399139728860945</v>
      </c>
      <c r="M8" s="49"/>
      <c r="O8">
        <v>0.21</v>
      </c>
      <c r="P8" s="6">
        <f t="shared" si="0"/>
        <v>7.199597934090908E-2</v>
      </c>
    </row>
    <row r="9" spans="1:16">
      <c r="A9">
        <v>0.6</v>
      </c>
      <c r="B9">
        <v>0.93</v>
      </c>
      <c r="C9">
        <v>0.92</v>
      </c>
      <c r="D9" s="6">
        <f t="shared" si="1"/>
        <v>0.92725339961599995</v>
      </c>
      <c r="L9">
        <v>2</v>
      </c>
      <c r="M9" s="49">
        <v>-1.1879999999999999</v>
      </c>
      <c r="O9">
        <v>0.21199999999999999</v>
      </c>
      <c r="P9" s="6">
        <f t="shared" si="0"/>
        <v>7.5620512877272741E-2</v>
      </c>
    </row>
    <row r="10" spans="1:16">
      <c r="A10">
        <f>0.5*(A9+A11)</f>
        <v>0.64999999999999991</v>
      </c>
      <c r="B10">
        <f>0.5*(B9+B11)</f>
        <v>0.9375</v>
      </c>
      <c r="C10">
        <f>0.5*(C9+C11)</f>
        <v>0.94500000000000006</v>
      </c>
      <c r="D10" s="6">
        <f t="shared" si="1"/>
        <v>0.93860520680935944</v>
      </c>
      <c r="M10" s="49"/>
      <c r="O10">
        <v>0.214</v>
      </c>
      <c r="P10" s="6">
        <f t="shared" si="0"/>
        <v>8.1842951613636375E-2</v>
      </c>
    </row>
    <row r="11" spans="1:16">
      <c r="A11">
        <v>0.7</v>
      </c>
      <c r="B11">
        <v>0.94499999999999995</v>
      </c>
      <c r="C11">
        <v>0.97</v>
      </c>
      <c r="D11" s="6">
        <f t="shared" si="1"/>
        <v>0.94825517343900012</v>
      </c>
      <c r="L11">
        <v>1</v>
      </c>
      <c r="M11" s="49">
        <v>1.125</v>
      </c>
      <c r="O11">
        <v>0.216</v>
      </c>
      <c r="P11" s="6">
        <f t="shared" si="0"/>
        <v>9.2145803940909085E-2</v>
      </c>
    </row>
    <row r="12" spans="1:16">
      <c r="A12">
        <f>0.5*(A11+A13)</f>
        <v>0.75</v>
      </c>
      <c r="B12">
        <f>0.5*(B11+B13)</f>
        <v>0.9524999999999999</v>
      </c>
      <c r="C12">
        <f>0.5*(C11+C13)</f>
        <v>0.97499999999999998</v>
      </c>
      <c r="D12" s="6">
        <f t="shared" si="1"/>
        <v>0.95639581030273435</v>
      </c>
      <c r="M12" s="49"/>
      <c r="O12">
        <v>0.218</v>
      </c>
      <c r="P12" s="6">
        <f t="shared" si="0"/>
        <v>0.10583402979545455</v>
      </c>
    </row>
    <row r="13" spans="1:16">
      <c r="A13">
        <v>0.8</v>
      </c>
      <c r="B13">
        <v>0.96</v>
      </c>
      <c r="C13">
        <v>0.98</v>
      </c>
      <c r="D13" s="6">
        <f t="shared" si="1"/>
        <v>0.96320453478400003</v>
      </c>
      <c r="L13">
        <v>0</v>
      </c>
      <c r="M13" s="49">
        <v>0.56420000000000003</v>
      </c>
      <c r="O13">
        <v>0.22</v>
      </c>
      <c r="P13" s="6">
        <f t="shared" si="0"/>
        <v>0.12395837540909092</v>
      </c>
    </row>
    <row r="14" spans="1:16">
      <c r="A14">
        <f>0.5*(A13+A15)</f>
        <v>0.85000000000000009</v>
      </c>
      <c r="B14">
        <f>0.5*(B13+B15)</f>
        <v>0.96499999999999997</v>
      </c>
      <c r="C14">
        <f>0.5*(C13+C15)</f>
        <v>0.98499999999999999</v>
      </c>
      <c r="D14" s="6">
        <f t="shared" si="1"/>
        <v>0.96884440445873432</v>
      </c>
      <c r="M14" s="49"/>
      <c r="O14">
        <v>0.222</v>
      </c>
      <c r="P14" s="6">
        <f t="shared" si="0"/>
        <v>0.14500656741818183</v>
      </c>
    </row>
    <row r="15" spans="1:16">
      <c r="A15">
        <v>0.9</v>
      </c>
      <c r="B15">
        <v>0.97</v>
      </c>
      <c r="C15">
        <v>0.99</v>
      </c>
      <c r="D15" s="6">
        <f t="shared" si="1"/>
        <v>0.97346483395099992</v>
      </c>
      <c r="O15">
        <v>0.224</v>
      </c>
      <c r="P15" s="6">
        <f t="shared" si="0"/>
        <v>0.16779938066818181</v>
      </c>
    </row>
    <row r="16" spans="1:16">
      <c r="A16">
        <f>0.5*(A15+A17)</f>
        <v>0.95</v>
      </c>
      <c r="B16">
        <f>0.5*(B15+B17)</f>
        <v>0.97499999999999998</v>
      </c>
      <c r="C16">
        <f>0.5*(C15+C17)</f>
        <v>0.99</v>
      </c>
      <c r="D16" s="6">
        <f t="shared" si="1"/>
        <v>0.97720229503735934</v>
      </c>
      <c r="O16">
        <v>0.22600000000000001</v>
      </c>
      <c r="P16" s="6">
        <f t="shared" si="0"/>
        <v>0.19067343566818182</v>
      </c>
    </row>
    <row r="17" spans="1:16">
      <c r="A17">
        <v>1</v>
      </c>
      <c r="B17">
        <v>0.98</v>
      </c>
      <c r="C17">
        <v>0.99</v>
      </c>
      <c r="D17" s="6">
        <f t="shared" si="1"/>
        <v>0.98018100000000008</v>
      </c>
      <c r="O17">
        <v>0.22800000000000001</v>
      </c>
      <c r="P17" s="6">
        <f t="shared" si="0"/>
        <v>0.2129036659681818</v>
      </c>
    </row>
    <row r="18" spans="1:16">
      <c r="A18">
        <f>0.5*(A17+A19)</f>
        <v>1.04</v>
      </c>
      <c r="B18">
        <f>0.5*(B17+B19)</f>
        <v>0.98080000000000001</v>
      </c>
      <c r="C18">
        <f>0.5*(C17+C19)</f>
        <v>0.99</v>
      </c>
      <c r="D18" s="6">
        <f t="shared" si="1"/>
        <v>0.98209371263195533</v>
      </c>
      <c r="O18">
        <v>0.23</v>
      </c>
      <c r="P18" s="6">
        <f t="shared" si="0"/>
        <v>0.23371356723636361</v>
      </c>
    </row>
    <row r="19" spans="1:16">
      <c r="A19">
        <v>1.08</v>
      </c>
      <c r="B19">
        <v>0.98160000000000003</v>
      </c>
      <c r="C19">
        <v>0.99</v>
      </c>
      <c r="D19" s="6">
        <f t="shared" si="1"/>
        <v>0.98364569704500837</v>
      </c>
      <c r="O19">
        <v>0.23200000000000001</v>
      </c>
      <c r="P19" s="6">
        <f t="shared" si="0"/>
        <v>0.25269189149999999</v>
      </c>
    </row>
    <row r="20" spans="1:16">
      <c r="A20">
        <f>0.5*(A19+A21)</f>
        <v>1.1200000000000001</v>
      </c>
      <c r="B20">
        <f>0.5*(B19+B21)</f>
        <v>0.98239999999999994</v>
      </c>
      <c r="C20">
        <f>0.5*(C19+C21)</f>
        <v>0.99</v>
      </c>
      <c r="D20" s="6">
        <f t="shared" si="1"/>
        <v>0.98488526860428927</v>
      </c>
      <c r="O20">
        <v>0.23400000000000001</v>
      </c>
      <c r="P20" s="6">
        <f t="shared" si="0"/>
        <v>0.2696080466045454</v>
      </c>
    </row>
    <row r="21" spans="1:16">
      <c r="A21">
        <v>1.1599999999999999</v>
      </c>
      <c r="B21">
        <v>0.98319999999999996</v>
      </c>
      <c r="C21">
        <v>0.99</v>
      </c>
      <c r="D21" s="6">
        <f t="shared" si="1"/>
        <v>0.98585667243123098</v>
      </c>
      <c r="O21">
        <v>0.23599999999999999</v>
      </c>
      <c r="P21" s="6">
        <f t="shared" si="0"/>
        <v>0.28428378734545456</v>
      </c>
    </row>
    <row r="22" spans="1:16">
      <c r="A22">
        <f>0.5*(A21+A23)</f>
        <v>1.2050000000000001</v>
      </c>
      <c r="B22">
        <f>0.5*(B21+B23)</f>
        <v>0.98409999999999997</v>
      </c>
      <c r="C22">
        <f>0.5*(C21+C23)</f>
        <v>0.99</v>
      </c>
      <c r="D22" s="6">
        <f t="shared" si="1"/>
        <v>0.9866790836310666</v>
      </c>
      <c r="O22">
        <v>0.23799999999999999</v>
      </c>
      <c r="P22" s="6">
        <f t="shared" si="0"/>
        <v>0.29674128503636366</v>
      </c>
    </row>
    <row r="23" spans="1:16">
      <c r="A23">
        <v>1.25</v>
      </c>
      <c r="B23">
        <v>0.98499999999999999</v>
      </c>
      <c r="C23">
        <v>0.99</v>
      </c>
      <c r="D23" s="6">
        <f t="shared" si="1"/>
        <v>0.98726503295898449</v>
      </c>
      <c r="O23">
        <v>0.24</v>
      </c>
      <c r="P23" s="6">
        <f t="shared" si="0"/>
        <v>0.30693716491363643</v>
      </c>
    </row>
    <row r="24" spans="1:16">
      <c r="A24">
        <f>0.5*(A23+A25)</f>
        <v>1.29</v>
      </c>
      <c r="B24">
        <f>0.5*(B23+B25)</f>
        <v>0.98580000000000001</v>
      </c>
      <c r="C24">
        <f>0.5*(C23+C25)</f>
        <v>0.99</v>
      </c>
      <c r="D24" s="6">
        <f t="shared" si="1"/>
        <v>0.98762499163220463</v>
      </c>
      <c r="O24">
        <v>0.24199999999999999</v>
      </c>
      <c r="P24" s="6">
        <f t="shared" si="0"/>
        <v>0.31495854465454548</v>
      </c>
    </row>
    <row r="25" spans="1:16">
      <c r="A25">
        <v>1.33</v>
      </c>
      <c r="B25">
        <v>0.98660000000000003</v>
      </c>
      <c r="C25">
        <v>0.99</v>
      </c>
      <c r="D25" s="6">
        <f t="shared" si="1"/>
        <v>0.98786396307611013</v>
      </c>
      <c r="O25">
        <v>0.24399999999999999</v>
      </c>
      <c r="P25" s="6">
        <f t="shared" si="0"/>
        <v>0.32086479229090903</v>
      </c>
    </row>
    <row r="26" spans="1:16">
      <c r="A26">
        <f>0.5*(A25+A27)</f>
        <v>1.37</v>
      </c>
      <c r="B26">
        <f>0.5*(B25+B27)</f>
        <v>0.98740000000000006</v>
      </c>
      <c r="C26">
        <f>0.5*(C25+C27)</f>
        <v>0.99</v>
      </c>
      <c r="D26" s="6">
        <f t="shared" si="1"/>
        <v>0.98800799003087159</v>
      </c>
      <c r="O26">
        <v>0.246</v>
      </c>
      <c r="P26" s="6">
        <f t="shared" si="0"/>
        <v>0.32477710063181819</v>
      </c>
    </row>
    <row r="27" spans="1:16">
      <c r="A27">
        <v>1.41</v>
      </c>
      <c r="B27">
        <v>0.98819999999999997</v>
      </c>
      <c r="C27">
        <v>0.99</v>
      </c>
      <c r="D27" s="6">
        <f t="shared" si="1"/>
        <v>0.98808021807686575</v>
      </c>
      <c r="O27">
        <v>0.248</v>
      </c>
      <c r="P27" s="6">
        <f t="shared" si="0"/>
        <v>0.32676848729999997</v>
      </c>
    </row>
    <row r="28" spans="1:16">
      <c r="A28">
        <f>0.5*(A27+A29)</f>
        <v>1.4550000000000001</v>
      </c>
      <c r="B28">
        <f>0.5*(B27+B29)</f>
        <v>0.98909999999999998</v>
      </c>
      <c r="C28">
        <f>0.5*(C27+C29)</f>
        <v>0.99</v>
      </c>
      <c r="D28" s="6">
        <f t="shared" si="1"/>
        <v>0.98810097738141356</v>
      </c>
      <c r="O28">
        <v>0.25</v>
      </c>
      <c r="P28" s="6">
        <f t="shared" si="0"/>
        <v>0.32693556498636361</v>
      </c>
    </row>
    <row r="29" spans="1:16">
      <c r="A29">
        <v>1.5</v>
      </c>
      <c r="B29">
        <v>0.99</v>
      </c>
      <c r="C29">
        <v>0.99</v>
      </c>
      <c r="D29" s="6">
        <f t="shared" si="1"/>
        <v>0.98808185937500004</v>
      </c>
      <c r="O29">
        <v>0.252</v>
      </c>
      <c r="P29" s="6">
        <f t="shared" si="0"/>
        <v>0.32530026349090913</v>
      </c>
    </row>
    <row r="30" spans="1:16">
      <c r="A30">
        <f>0.5*(A29+A31)</f>
        <v>1.5449999999999999</v>
      </c>
      <c r="B30">
        <f>0.5*(B29+B31)</f>
        <v>0.99</v>
      </c>
      <c r="C30">
        <f>0.5*(C29+C31)</f>
        <v>0.99</v>
      </c>
      <c r="D30" s="6">
        <f t="shared" si="1"/>
        <v>0.98804428007154033</v>
      </c>
      <c r="O30">
        <v>0.254</v>
      </c>
      <c r="P30" s="6">
        <f t="shared" si="0"/>
        <v>0.32207674028181821</v>
      </c>
    </row>
    <row r="31" spans="1:16">
      <c r="A31">
        <v>1.59</v>
      </c>
      <c r="B31">
        <v>0.99</v>
      </c>
      <c r="C31">
        <v>0.99</v>
      </c>
      <c r="D31" s="6">
        <f t="shared" si="1"/>
        <v>0.98800613529592818</v>
      </c>
      <c r="O31">
        <v>0.25600000000000001</v>
      </c>
      <c r="P31" s="6">
        <f t="shared" si="0"/>
        <v>0.31730103335454546</v>
      </c>
    </row>
    <row r="32" spans="1:16">
      <c r="A32">
        <f>0.5*(A31+A33)</f>
        <v>1.63</v>
      </c>
      <c r="B32">
        <f>0.5*(B31+B33)</f>
        <v>0.99</v>
      </c>
      <c r="C32">
        <f>0.5*(C31+C33)</f>
        <v>0.99</v>
      </c>
      <c r="D32" s="6">
        <f t="shared" si="1"/>
        <v>0.98798366640031632</v>
      </c>
      <c r="O32">
        <v>0.25800000000000001</v>
      </c>
      <c r="P32" s="6">
        <f t="shared" si="0"/>
        <v>0.31098458701818182</v>
      </c>
    </row>
    <row r="33" spans="1:16">
      <c r="A33">
        <v>1.67</v>
      </c>
      <c r="B33">
        <v>0.99</v>
      </c>
      <c r="C33">
        <v>0.99</v>
      </c>
      <c r="D33" s="6">
        <f t="shared" si="1"/>
        <v>0.98798067282563484</v>
      </c>
      <c r="O33">
        <v>0.26</v>
      </c>
      <c r="P33" s="6">
        <f t="shared" si="0"/>
        <v>0.30322806813636372</v>
      </c>
    </row>
    <row r="34" spans="1:16">
      <c r="A34">
        <f>0.5*(A33+A35)</f>
        <v>1.71</v>
      </c>
      <c r="B34">
        <f>0.5*(B33+B35)</f>
        <v>0.99</v>
      </c>
      <c r="C34">
        <f>0.5*(C33+C35)</f>
        <v>0.99</v>
      </c>
      <c r="D34" s="6">
        <f t="shared" si="1"/>
        <v>0.9880037435177127</v>
      </c>
      <c r="O34">
        <v>0.26200000000000001</v>
      </c>
      <c r="P34" s="6">
        <f t="shared" si="0"/>
        <v>0.29412388597727274</v>
      </c>
    </row>
    <row r="35" spans="1:16">
      <c r="A35">
        <v>1.75</v>
      </c>
      <c r="B35">
        <v>0.99</v>
      </c>
      <c r="C35">
        <v>0.99</v>
      </c>
      <c r="D35" s="6">
        <f t="shared" si="1"/>
        <v>0.98805789038085923</v>
      </c>
      <c r="O35">
        <v>0.26400000000000001</v>
      </c>
      <c r="P35" s="6">
        <f t="shared" si="0"/>
        <v>0.28380382738636362</v>
      </c>
    </row>
    <row r="36" spans="1:16">
      <c r="A36">
        <f>0.5*(A35+A37)</f>
        <v>1.79</v>
      </c>
      <c r="B36">
        <f>0.5*(B35+B37)</f>
        <v>0.99</v>
      </c>
      <c r="C36">
        <f>0.5*(C35+C37)</f>
        <v>0.99</v>
      </c>
      <c r="D36" s="6">
        <f t="shared" si="1"/>
        <v>0.98814668272750916</v>
      </c>
      <c r="O36">
        <v>0.26600000000000001</v>
      </c>
      <c r="P36" s="6">
        <f t="shared" si="0"/>
        <v>0.27236590257727278</v>
      </c>
    </row>
    <row r="37" spans="1:16">
      <c r="A37">
        <v>1.83</v>
      </c>
      <c r="B37">
        <v>0.99</v>
      </c>
      <c r="C37">
        <v>0.99</v>
      </c>
      <c r="D37" s="6">
        <f t="shared" si="1"/>
        <v>0.9882723773366191</v>
      </c>
      <c r="O37">
        <v>0.26800000000000002</v>
      </c>
      <c r="P37" s="6">
        <f t="shared" si="0"/>
        <v>0.25989687916818177</v>
      </c>
    </row>
    <row r="38" spans="1:16">
      <c r="A38">
        <f>0.5*(A37+A39)</f>
        <v>1.87</v>
      </c>
      <c r="B38">
        <f>0.5*(B37+B39)</f>
        <v>0.99</v>
      </c>
      <c r="C38">
        <f>0.5*(C37+C39)</f>
        <v>0.99</v>
      </c>
      <c r="D38" s="6">
        <f t="shared" si="1"/>
        <v>0.98843604412084174</v>
      </c>
      <c r="O38">
        <v>0.27</v>
      </c>
      <c r="P38" s="6">
        <f t="shared" si="0"/>
        <v>0.2465488845181818</v>
      </c>
    </row>
    <row r="39" spans="1:16">
      <c r="A39">
        <v>1.91</v>
      </c>
      <c r="B39">
        <v>0.99</v>
      </c>
      <c r="C39">
        <v>0.99</v>
      </c>
      <c r="D39" s="6">
        <f t="shared" si="1"/>
        <v>0.98863768740244096</v>
      </c>
      <c r="O39">
        <v>0.27200000000000002</v>
      </c>
      <c r="P39" s="6">
        <f t="shared" si="0"/>
        <v>0.23245546843181816</v>
      </c>
    </row>
    <row r="40" spans="1:16">
      <c r="A40">
        <f>0.5*(A39+A41)</f>
        <v>1.9550000000000001</v>
      </c>
      <c r="B40">
        <f>0.5*(B39+B41)</f>
        <v>0.99</v>
      </c>
      <c r="C40">
        <f>0.5*(C39+C41)</f>
        <v>0.99</v>
      </c>
      <c r="D40" s="6">
        <f t="shared" si="1"/>
        <v>0.98890872072583447</v>
      </c>
      <c r="O40">
        <v>0.27400000000000002</v>
      </c>
      <c r="P40" s="6">
        <f t="shared" si="0"/>
        <v>0.21776767552727275</v>
      </c>
    </row>
    <row r="41" spans="1:16">
      <c r="A41">
        <v>2</v>
      </c>
      <c r="B41">
        <v>0.99</v>
      </c>
      <c r="C41">
        <v>0.99</v>
      </c>
      <c r="D41" s="6">
        <f t="shared" si="1"/>
        <v>0.9892240000000001</v>
      </c>
      <c r="O41">
        <v>0.27600000000000002</v>
      </c>
      <c r="P41" s="6">
        <f t="shared" si="0"/>
        <v>0.20257240186818185</v>
      </c>
    </row>
    <row r="42" spans="1:16">
      <c r="A42">
        <v>2.5</v>
      </c>
      <c r="B42">
        <v>0.99</v>
      </c>
      <c r="C42">
        <v>0.99</v>
      </c>
      <c r="D42" s="6">
        <f t="shared" si="1"/>
        <v>0.99411210937500138</v>
      </c>
      <c r="O42">
        <v>0.27800000000000002</v>
      </c>
      <c r="P42" s="6">
        <f t="shared" si="0"/>
        <v>0.18700125248636365</v>
      </c>
    </row>
    <row r="43" spans="1:16">
      <c r="A43">
        <v>3</v>
      </c>
      <c r="B43">
        <v>0.99</v>
      </c>
      <c r="C43">
        <v>0.99</v>
      </c>
      <c r="D43" s="6">
        <f t="shared" si="1"/>
        <v>0.99584900000000021</v>
      </c>
      <c r="O43">
        <v>0.28000000000000003</v>
      </c>
      <c r="P43" s="6">
        <f t="shared" si="0"/>
        <v>0.17119878550454545</v>
      </c>
    </row>
    <row r="44" spans="1:16">
      <c r="A44">
        <v>3.5</v>
      </c>
      <c r="B44">
        <v>0.99</v>
      </c>
      <c r="C44">
        <v>0.99</v>
      </c>
      <c r="D44" s="6">
        <f t="shared" si="1"/>
        <v>0.99240498437500202</v>
      </c>
      <c r="O44">
        <v>0.28199999999999997</v>
      </c>
      <c r="P44" s="6">
        <f t="shared" si="0"/>
        <v>0.15533689440909093</v>
      </c>
    </row>
    <row r="45" spans="1:16">
      <c r="A45">
        <v>4</v>
      </c>
      <c r="B45">
        <v>0.99</v>
      </c>
      <c r="C45">
        <v>0.99</v>
      </c>
      <c r="D45" s="6">
        <f t="shared" si="1"/>
        <v>0.99213600000000257</v>
      </c>
      <c r="O45">
        <v>0.28399999999999997</v>
      </c>
      <c r="P45" s="6">
        <f t="shared" si="0"/>
        <v>0.13957160243636366</v>
      </c>
    </row>
    <row r="46" spans="1:16">
      <c r="A46">
        <v>4.5</v>
      </c>
      <c r="B46">
        <v>0.99</v>
      </c>
      <c r="C46">
        <v>0.99</v>
      </c>
      <c r="D46" s="6">
        <f t="shared" si="1"/>
        <v>1.0025504843750039</v>
      </c>
      <c r="O46">
        <v>0.28599999999999998</v>
      </c>
      <c r="P46" s="6">
        <f t="shared" si="0"/>
        <v>0.12412795778181819</v>
      </c>
    </row>
    <row r="47" spans="1:16">
      <c r="A47">
        <v>5</v>
      </c>
      <c r="B47">
        <v>0.99</v>
      </c>
      <c r="C47">
        <v>0.99</v>
      </c>
      <c r="D47" s="6">
        <f t="shared" si="1"/>
        <v>1.0023250000000172</v>
      </c>
      <c r="O47">
        <v>0.28799999999999998</v>
      </c>
      <c r="P47" s="6">
        <f t="shared" si="0"/>
        <v>0.10929101709090908</v>
      </c>
    </row>
    <row r="48" spans="1:16">
      <c r="A48" s="19"/>
      <c r="O48">
        <v>0.28999999999999998</v>
      </c>
      <c r="P48" s="6">
        <f t="shared" si="0"/>
        <v>9.5411346904545447E-2</v>
      </c>
    </row>
    <row r="49" spans="15:21">
      <c r="O49">
        <v>0.29199999999999998</v>
      </c>
      <c r="P49" s="6">
        <f t="shared" si="0"/>
        <v>8.2965039345454544E-2</v>
      </c>
      <c r="T49">
        <v>1</v>
      </c>
      <c r="U49">
        <v>0.91700000000000004</v>
      </c>
    </row>
    <row r="50" spans="15:21">
      <c r="O50">
        <v>0.29399999999999998</v>
      </c>
      <c r="P50" s="6">
        <f t="shared" si="0"/>
        <v>7.2475703213636375E-2</v>
      </c>
      <c r="T50">
        <v>1.1000000000000001</v>
      </c>
      <c r="U50">
        <v>0.93300000000000005</v>
      </c>
    </row>
    <row r="51" spans="15:21">
      <c r="O51">
        <v>0.29599999999999999</v>
      </c>
      <c r="P51" s="6">
        <f t="shared" si="0"/>
        <v>6.4398966195454543E-2</v>
      </c>
      <c r="T51">
        <v>1.2</v>
      </c>
      <c r="U51">
        <v>0.94</v>
      </c>
    </row>
    <row r="52" spans="15:21">
      <c r="O52">
        <v>0.29799999999999999</v>
      </c>
      <c r="P52" s="6">
        <f t="shared" si="0"/>
        <v>5.8918129904545466E-2</v>
      </c>
      <c r="T52">
        <v>1.3</v>
      </c>
      <c r="U52">
        <v>0.97499999999999998</v>
      </c>
    </row>
    <row r="53" spans="15:21">
      <c r="O53">
        <v>0.3</v>
      </c>
      <c r="P53" s="6">
        <f t="shared" si="0"/>
        <v>5.5958472554545453E-2</v>
      </c>
      <c r="T53">
        <v>2</v>
      </c>
      <c r="U53">
        <v>0.98250000000000004</v>
      </c>
    </row>
    <row r="54" spans="15:21">
      <c r="O54">
        <v>0.30199999999999999</v>
      </c>
      <c r="P54" s="6">
        <f t="shared" si="0"/>
        <v>5.5011149336363634E-2</v>
      </c>
      <c r="T54" t="s">
        <v>361</v>
      </c>
    </row>
    <row r="55" spans="15:21">
      <c r="O55">
        <v>0.30399999999999999</v>
      </c>
      <c r="P55" s="6">
        <f t="shared" si="0"/>
        <v>5.6093163895454545E-2</v>
      </c>
    </row>
    <row r="56" spans="15:21">
      <c r="O56">
        <v>0.30599999999999999</v>
      </c>
      <c r="P56" s="6">
        <f t="shared" si="0"/>
        <v>6.1259055550000004E-2</v>
      </c>
      <c r="T56" t="s">
        <v>362</v>
      </c>
      <c r="U56">
        <f>(U53-U52)/(T53-T52)</f>
        <v>1.0714285714285805E-2</v>
      </c>
    </row>
    <row r="57" spans="15:21">
      <c r="O57">
        <v>0.308</v>
      </c>
      <c r="P57" s="6">
        <f t="shared" si="0"/>
        <v>7.3600728004545451E-2</v>
      </c>
    </row>
    <row r="58" spans="15:21">
      <c r="O58">
        <v>0.31</v>
      </c>
      <c r="P58" s="6">
        <f t="shared" si="0"/>
        <v>9.497821616818182E-2</v>
      </c>
    </row>
    <row r="59" spans="15:21">
      <c r="O59">
        <v>0.312</v>
      </c>
      <c r="P59" s="6">
        <f t="shared" si="0"/>
        <v>0.12530180993636364</v>
      </c>
    </row>
    <row r="60" spans="15:21">
      <c r="O60">
        <v>0.314</v>
      </c>
      <c r="P60" s="6">
        <f t="shared" si="0"/>
        <v>0.16307880307272729</v>
      </c>
    </row>
    <row r="61" spans="15:21">
      <c r="O61">
        <v>0.316</v>
      </c>
      <c r="P61" s="6">
        <f t="shared" si="0"/>
        <v>0.20630289114545458</v>
      </c>
    </row>
    <row r="62" spans="15:21">
      <c r="O62">
        <v>0.318</v>
      </c>
      <c r="P62" s="6">
        <f t="shared" si="0"/>
        <v>0.25301978199090913</v>
      </c>
    </row>
    <row r="63" spans="15:21">
      <c r="O63">
        <v>0.32</v>
      </c>
      <c r="P63" s="6">
        <f t="shared" si="0"/>
        <v>0.30165277689999997</v>
      </c>
    </row>
    <row r="64" spans="15:21">
      <c r="O64">
        <v>0.32200000000000001</v>
      </c>
      <c r="P64" s="6">
        <f t="shared" si="0"/>
        <v>0.35123692035000004</v>
      </c>
    </row>
    <row r="65" spans="15:21">
      <c r="O65">
        <v>0.32400000000000001</v>
      </c>
      <c r="P65" s="6">
        <f t="shared" si="0"/>
        <v>0.40153013064999998</v>
      </c>
    </row>
    <row r="66" spans="15:21">
      <c r="O66">
        <v>0.32600000000000001</v>
      </c>
      <c r="P66" s="6">
        <f t="shared" si="0"/>
        <v>0.45180439343636364</v>
      </c>
    </row>
    <row r="67" spans="15:21">
      <c r="O67">
        <v>0.32800000000000001</v>
      </c>
      <c r="P67" s="6">
        <f t="shared" si="0"/>
        <v>0.49948334978181824</v>
      </c>
    </row>
    <row r="68" spans="15:21">
      <c r="O68">
        <v>0.33</v>
      </c>
      <c r="P68" s="6">
        <f t="shared" ref="P68:P131" si="2">B208/100</f>
        <v>0.54091176768636373</v>
      </c>
    </row>
    <row r="69" spans="15:21">
      <c r="O69">
        <v>0.33200000000000002</v>
      </c>
      <c r="P69" s="6">
        <f t="shared" si="2"/>
        <v>0.57365234670909093</v>
      </c>
    </row>
    <row r="70" spans="15:21">
      <c r="O70">
        <v>0.33400000000000002</v>
      </c>
      <c r="P70" s="6">
        <f t="shared" si="2"/>
        <v>0.59726885080909109</v>
      </c>
    </row>
    <row r="71" spans="15:21">
      <c r="O71">
        <v>0.33600000000000002</v>
      </c>
      <c r="P71" s="6">
        <f t="shared" si="2"/>
        <v>0.61272561589545449</v>
      </c>
    </row>
    <row r="72" spans="15:21">
      <c r="O72">
        <v>0.33800000000000002</v>
      </c>
      <c r="P72" s="6">
        <f t="shared" si="2"/>
        <v>0.62154971279090898</v>
      </c>
    </row>
    <row r="73" spans="15:21">
      <c r="O73">
        <v>0.34</v>
      </c>
      <c r="P73" s="6">
        <f t="shared" si="2"/>
        <v>0.62535425268181821</v>
      </c>
    </row>
    <row r="74" spans="15:21">
      <c r="O74">
        <v>0.34200000000000003</v>
      </c>
      <c r="P74" s="6">
        <f t="shared" si="2"/>
        <v>0.62563777883636373</v>
      </c>
    </row>
    <row r="75" spans="15:21">
      <c r="O75">
        <v>0.34399999999999997</v>
      </c>
      <c r="P75" s="6">
        <f t="shared" si="2"/>
        <v>0.62368975336363652</v>
      </c>
      <c r="U75" t="s">
        <v>307</v>
      </c>
    </row>
    <row r="76" spans="15:21">
      <c r="O76">
        <v>0.34599999999999997</v>
      </c>
      <c r="P76" s="6">
        <f t="shared" si="2"/>
        <v>0.62054294646363639</v>
      </c>
    </row>
    <row r="77" spans="15:21">
      <c r="O77">
        <v>0.34799999999999998</v>
      </c>
      <c r="P77" s="6">
        <f t="shared" si="2"/>
        <v>0.61720857392272732</v>
      </c>
    </row>
    <row r="78" spans="15:21">
      <c r="O78">
        <v>0.35</v>
      </c>
      <c r="P78" s="6">
        <f t="shared" si="2"/>
        <v>0.61467844269545457</v>
      </c>
    </row>
    <row r="79" spans="15:21">
      <c r="O79">
        <v>0.35199999999999998</v>
      </c>
      <c r="P79" s="6">
        <f t="shared" si="2"/>
        <v>0.61390766684999998</v>
      </c>
    </row>
    <row r="80" spans="15:21">
      <c r="O80">
        <v>0.35399999999999998</v>
      </c>
      <c r="P80" s="6">
        <f t="shared" si="2"/>
        <v>0.61581152608181811</v>
      </c>
    </row>
    <row r="81" spans="15:16">
      <c r="O81">
        <v>0.35599999999999998</v>
      </c>
      <c r="P81" s="6">
        <f t="shared" si="2"/>
        <v>0.62103587489090906</v>
      </c>
    </row>
    <row r="82" spans="15:16">
      <c r="O82">
        <v>0.35799999999999998</v>
      </c>
      <c r="P82" s="6">
        <f t="shared" si="2"/>
        <v>0.62989692789545448</v>
      </c>
    </row>
    <row r="83" spans="15:16">
      <c r="O83">
        <v>0.36</v>
      </c>
      <c r="P83" s="6">
        <f t="shared" si="2"/>
        <v>0.64239265258181821</v>
      </c>
    </row>
    <row r="84" spans="15:16">
      <c r="O84">
        <v>0.36199999999999999</v>
      </c>
      <c r="P84" s="6">
        <f t="shared" si="2"/>
        <v>0.65823235427272719</v>
      </c>
    </row>
    <row r="85" spans="15:16">
      <c r="O85">
        <v>0.36399999999999999</v>
      </c>
      <c r="P85" s="6">
        <f t="shared" si="2"/>
        <v>0.67721266672727287</v>
      </c>
    </row>
    <row r="86" spans="15:16">
      <c r="O86">
        <v>0.36599999999999999</v>
      </c>
      <c r="P86" s="6">
        <f t="shared" si="2"/>
        <v>0.69881834638181817</v>
      </c>
    </row>
    <row r="87" spans="15:16">
      <c r="O87">
        <v>0.36799999999999999</v>
      </c>
      <c r="P87" s="6">
        <f t="shared" si="2"/>
        <v>0.72216529774545446</v>
      </c>
    </row>
    <row r="88" spans="15:16">
      <c r="O88">
        <v>0.37</v>
      </c>
      <c r="P88" s="6">
        <f t="shared" si="2"/>
        <v>0.74656099991363634</v>
      </c>
    </row>
    <row r="89" spans="15:16">
      <c r="O89">
        <v>0.372</v>
      </c>
      <c r="P89" s="6">
        <f t="shared" si="2"/>
        <v>0.77121841059999985</v>
      </c>
    </row>
    <row r="90" spans="15:16">
      <c r="O90">
        <v>0.374</v>
      </c>
      <c r="P90" s="6">
        <f t="shared" si="2"/>
        <v>0.79534849932727258</v>
      </c>
    </row>
    <row r="91" spans="15:16">
      <c r="O91">
        <v>0.376</v>
      </c>
      <c r="P91" s="6">
        <f t="shared" si="2"/>
        <v>0.81819424295909082</v>
      </c>
    </row>
    <row r="92" spans="15:16">
      <c r="O92">
        <v>0.378</v>
      </c>
      <c r="P92" s="6">
        <f t="shared" si="2"/>
        <v>0.83917421505454537</v>
      </c>
    </row>
    <row r="93" spans="15:16">
      <c r="O93">
        <v>0.38</v>
      </c>
      <c r="P93" s="6">
        <f t="shared" si="2"/>
        <v>0.85793409339999982</v>
      </c>
    </row>
    <row r="94" spans="15:16">
      <c r="O94">
        <v>0.38200000000000001</v>
      </c>
      <c r="P94" s="6">
        <f t="shared" si="2"/>
        <v>0.87433670729545421</v>
      </c>
    </row>
    <row r="95" spans="15:16">
      <c r="O95">
        <v>0.38400000000000001</v>
      </c>
      <c r="P95" s="6">
        <f t="shared" si="2"/>
        <v>0.88847510280909059</v>
      </c>
    </row>
    <row r="96" spans="15:16">
      <c r="O96">
        <v>0.38600000000000001</v>
      </c>
      <c r="P96" s="6">
        <f t="shared" si="2"/>
        <v>0.90030913983181837</v>
      </c>
    </row>
    <row r="97" spans="2:16">
      <c r="O97">
        <v>0.38800000000000001</v>
      </c>
      <c r="P97" s="6">
        <f t="shared" si="2"/>
        <v>0.91007662426818181</v>
      </c>
    </row>
    <row r="98" spans="2:16">
      <c r="O98">
        <v>0.39</v>
      </c>
      <c r="P98" s="6">
        <f t="shared" si="2"/>
        <v>0.91834288526818175</v>
      </c>
    </row>
    <row r="99" spans="2:16">
      <c r="O99">
        <v>0.39200000000000002</v>
      </c>
      <c r="P99" s="6">
        <f t="shared" si="2"/>
        <v>0.9253486160454546</v>
      </c>
    </row>
    <row r="100" spans="2:16">
      <c r="O100">
        <v>0.39400000000000002</v>
      </c>
      <c r="P100" s="6">
        <f t="shared" si="2"/>
        <v>0.93130447347727285</v>
      </c>
    </row>
    <row r="101" spans="2:16">
      <c r="O101">
        <v>0.39600000000000002</v>
      </c>
      <c r="P101" s="6">
        <f t="shared" si="2"/>
        <v>0.936395592690909</v>
      </c>
    </row>
    <row r="102" spans="2:16">
      <c r="O102">
        <v>0.39800000000000002</v>
      </c>
      <c r="P102" s="6">
        <f t="shared" si="2"/>
        <v>0.94078600305454541</v>
      </c>
    </row>
    <row r="103" spans="2:16">
      <c r="O103">
        <v>0.4</v>
      </c>
      <c r="P103" s="6">
        <f t="shared" si="2"/>
        <v>0.94457647183636373</v>
      </c>
    </row>
    <row r="104" spans="2:16">
      <c r="O104">
        <v>0.40200000000000002</v>
      </c>
      <c r="P104" s="6">
        <f t="shared" si="2"/>
        <v>0.94787423018636374</v>
      </c>
    </row>
    <row r="105" spans="2:16">
      <c r="O105">
        <v>0.40400000000000003</v>
      </c>
      <c r="P105" s="6">
        <f t="shared" si="2"/>
        <v>0.95075359646363666</v>
      </c>
    </row>
    <row r="106" spans="2:16">
      <c r="O106">
        <v>0.40600000000000003</v>
      </c>
      <c r="P106" s="6">
        <f t="shared" si="2"/>
        <v>0.95328804418181801</v>
      </c>
    </row>
    <row r="107" spans="2:16">
      <c r="O107">
        <v>0.40799999999999997</v>
      </c>
      <c r="P107" s="6">
        <f t="shared" si="2"/>
        <v>0.95556031301818178</v>
      </c>
    </row>
    <row r="108" spans="2:16">
      <c r="O108">
        <v>0.41</v>
      </c>
      <c r="P108" s="6">
        <f t="shared" si="2"/>
        <v>0.95760027106363632</v>
      </c>
    </row>
    <row r="109" spans="2:16">
      <c r="O109">
        <v>0.41199999999999998</v>
      </c>
      <c r="P109" s="6">
        <f t="shared" si="2"/>
        <v>0.9594233408181817</v>
      </c>
    </row>
    <row r="110" spans="2:16">
      <c r="B110" t="s">
        <v>360</v>
      </c>
      <c r="O110">
        <v>0.41399999999999998</v>
      </c>
      <c r="P110" s="6">
        <f t="shared" si="2"/>
        <v>0.96105801998636364</v>
      </c>
    </row>
    <row r="111" spans="2:16">
      <c r="O111">
        <v>0.41599999999999998</v>
      </c>
      <c r="P111" s="6">
        <f t="shared" si="2"/>
        <v>0.96254010866818196</v>
      </c>
    </row>
    <row r="112" spans="2:16">
      <c r="O112">
        <v>0.41799999999999998</v>
      </c>
      <c r="P112" s="6">
        <f t="shared" si="2"/>
        <v>0.96389653246818197</v>
      </c>
    </row>
    <row r="113" spans="7:16">
      <c r="O113">
        <v>0.42</v>
      </c>
      <c r="P113" s="6">
        <f t="shared" si="2"/>
        <v>0.96514082700454551</v>
      </c>
    </row>
    <row r="114" spans="7:16">
      <c r="O114">
        <v>0.42199999999999999</v>
      </c>
      <c r="P114" s="6">
        <f t="shared" si="2"/>
        <v>0.96629280363181824</v>
      </c>
    </row>
    <row r="115" spans="7:16">
      <c r="O115">
        <v>0.42399999999999999</v>
      </c>
      <c r="P115" s="6">
        <f t="shared" si="2"/>
        <v>0.96734627706818155</v>
      </c>
    </row>
    <row r="116" spans="7:16">
      <c r="G116" t="s">
        <v>304</v>
      </c>
      <c r="O116">
        <v>0.42599999999999999</v>
      </c>
      <c r="P116" s="6">
        <f t="shared" si="2"/>
        <v>0.96831333113636342</v>
      </c>
    </row>
    <row r="117" spans="7:16">
      <c r="G117" t="s">
        <v>306</v>
      </c>
      <c r="O117">
        <v>0.42799999999999999</v>
      </c>
      <c r="P117" s="6">
        <f t="shared" si="2"/>
        <v>0.96922516541818182</v>
      </c>
    </row>
    <row r="118" spans="7:16">
      <c r="O118">
        <v>0.43</v>
      </c>
      <c r="P118" s="6">
        <f t="shared" si="2"/>
        <v>0.97005884064090908</v>
      </c>
    </row>
    <row r="119" spans="7:16">
      <c r="O119">
        <v>0.432</v>
      </c>
      <c r="P119" s="6">
        <f t="shared" si="2"/>
        <v>0.97082984171818165</v>
      </c>
    </row>
    <row r="120" spans="7:16">
      <c r="O120">
        <v>0.434</v>
      </c>
      <c r="P120" s="6">
        <f t="shared" si="2"/>
        <v>0.97154533626818196</v>
      </c>
    </row>
    <row r="121" spans="7:16">
      <c r="O121">
        <v>0.436</v>
      </c>
      <c r="P121" s="6">
        <f t="shared" si="2"/>
        <v>0.97220211315454552</v>
      </c>
    </row>
    <row r="122" spans="7:16">
      <c r="O122">
        <v>0.438</v>
      </c>
      <c r="P122" s="6">
        <f t="shared" si="2"/>
        <v>0.97281506933636364</v>
      </c>
    </row>
    <row r="123" spans="7:16">
      <c r="O123">
        <v>0.44</v>
      </c>
      <c r="P123" s="6">
        <f t="shared" si="2"/>
        <v>0.97339554600454536</v>
      </c>
    </row>
    <row r="124" spans="7:16">
      <c r="O124">
        <v>0.442</v>
      </c>
      <c r="P124" s="6">
        <f t="shared" si="2"/>
        <v>0.97392844086818187</v>
      </c>
    </row>
    <row r="125" spans="7:16">
      <c r="O125">
        <v>0.44400000000000001</v>
      </c>
      <c r="P125" s="6">
        <f t="shared" si="2"/>
        <v>0.974430776568182</v>
      </c>
    </row>
    <row r="126" spans="7:16">
      <c r="O126">
        <v>0.44600000000000001</v>
      </c>
      <c r="P126" s="6">
        <f t="shared" si="2"/>
        <v>0.97491318694090912</v>
      </c>
    </row>
    <row r="127" spans="7:16">
      <c r="O127">
        <v>0.44800000000000001</v>
      </c>
      <c r="P127" s="6">
        <f t="shared" si="2"/>
        <v>0.97538033401363633</v>
      </c>
    </row>
    <row r="128" spans="7:16">
      <c r="O128">
        <v>0.45</v>
      </c>
      <c r="P128" s="6">
        <f t="shared" si="2"/>
        <v>0.97580818672727265</v>
      </c>
    </row>
    <row r="129" spans="1:16">
      <c r="G129" t="s">
        <v>305</v>
      </c>
      <c r="O129">
        <v>0.45200000000000001</v>
      </c>
      <c r="P129" s="6">
        <f t="shared" si="2"/>
        <v>0.97621143399545462</v>
      </c>
    </row>
    <row r="130" spans="1:16">
      <c r="O130">
        <v>0.45400000000000001</v>
      </c>
      <c r="P130" s="6">
        <f t="shared" si="2"/>
        <v>0.97658739926818183</v>
      </c>
    </row>
    <row r="131" spans="1:16">
      <c r="O131">
        <v>0.45600000000000002</v>
      </c>
      <c r="P131" s="6">
        <f t="shared" si="2"/>
        <v>0.97693909739545459</v>
      </c>
    </row>
    <row r="132" spans="1:16">
      <c r="O132">
        <v>0.45800000000000002</v>
      </c>
      <c r="P132" s="6">
        <f t="shared" ref="P132:P195" si="3">B272/100</f>
        <v>0.97729492658181816</v>
      </c>
    </row>
    <row r="133" spans="1:16">
      <c r="O133">
        <v>0.46</v>
      </c>
      <c r="P133" s="6">
        <f t="shared" si="3"/>
        <v>0.97764914567727279</v>
      </c>
    </row>
    <row r="134" spans="1:16">
      <c r="O134">
        <v>0.46200000000000002</v>
      </c>
      <c r="P134" s="6">
        <f t="shared" si="3"/>
        <v>0.97796825212727267</v>
      </c>
    </row>
    <row r="135" spans="1:16">
      <c r="O135">
        <v>0.46400000000000002</v>
      </c>
      <c r="P135" s="6">
        <f t="shared" si="3"/>
        <v>0.97827271760454537</v>
      </c>
    </row>
    <row r="136" spans="1:16">
      <c r="O136">
        <v>0.46600000000000003</v>
      </c>
      <c r="P136" s="6">
        <f t="shared" si="3"/>
        <v>0.97854475241363648</v>
      </c>
    </row>
    <row r="137" spans="1:16">
      <c r="O137">
        <v>0.46800000000000003</v>
      </c>
      <c r="P137" s="6">
        <f t="shared" si="3"/>
        <v>0.9788029268727273</v>
      </c>
    </row>
    <row r="138" spans="1:16">
      <c r="O138">
        <v>0.47</v>
      </c>
      <c r="P138" s="6">
        <f t="shared" si="3"/>
        <v>0.97903283519090889</v>
      </c>
    </row>
    <row r="139" spans="1:16">
      <c r="O139">
        <v>0.47199999999999998</v>
      </c>
      <c r="P139" s="6">
        <f t="shared" si="3"/>
        <v>0.9792558020272728</v>
      </c>
    </row>
    <row r="140" spans="1:16">
      <c r="O140">
        <v>0.47399999999999998</v>
      </c>
      <c r="P140" s="6">
        <f t="shared" si="3"/>
        <v>0.97948105012727271</v>
      </c>
    </row>
    <row r="141" spans="1:16">
      <c r="O141">
        <v>0.47599999999999998</v>
      </c>
      <c r="P141" s="6">
        <f t="shared" si="3"/>
        <v>0.97969584077727279</v>
      </c>
    </row>
    <row r="142" spans="1:16">
      <c r="A142" t="s">
        <v>246</v>
      </c>
      <c r="B142" t="s">
        <v>180</v>
      </c>
      <c r="O142">
        <v>0.47799999999999998</v>
      </c>
      <c r="P142" s="6">
        <f t="shared" si="3"/>
        <v>0.97992231996363643</v>
      </c>
    </row>
    <row r="143" spans="1:16">
      <c r="A143">
        <v>200</v>
      </c>
      <c r="B143">
        <v>10.654663975</v>
      </c>
      <c r="O143">
        <v>0.48</v>
      </c>
      <c r="P143" s="6">
        <f t="shared" si="3"/>
        <v>0.9801259340499997</v>
      </c>
    </row>
    <row r="144" spans="1:16">
      <c r="A144">
        <v>202</v>
      </c>
      <c r="B144">
        <v>11.703004929999999</v>
      </c>
      <c r="O144">
        <v>0.48199999999999998</v>
      </c>
      <c r="P144" s="6">
        <f t="shared" si="3"/>
        <v>0.98028840669545458</v>
      </c>
    </row>
    <row r="145" spans="1:16">
      <c r="A145">
        <v>204</v>
      </c>
      <c r="B145">
        <v>10.45573263</v>
      </c>
      <c r="O145">
        <v>0.48399999999999999</v>
      </c>
      <c r="P145" s="6">
        <f t="shared" si="3"/>
        <v>0.98044333181363652</v>
      </c>
    </row>
    <row r="146" spans="1:16">
      <c r="A146">
        <v>206</v>
      </c>
      <c r="B146">
        <v>10.417105735</v>
      </c>
      <c r="O146">
        <v>0.48599999999999999</v>
      </c>
      <c r="P146" s="6">
        <f t="shared" si="3"/>
        <v>0.98059518147727265</v>
      </c>
    </row>
    <row r="147" spans="1:16">
      <c r="A147">
        <v>208</v>
      </c>
      <c r="B147">
        <v>8.5538697300000006</v>
      </c>
      <c r="O147">
        <v>0.48799999999999999</v>
      </c>
      <c r="P147" s="6">
        <f t="shared" si="3"/>
        <v>0.98074903380454548</v>
      </c>
    </row>
    <row r="148" spans="1:16">
      <c r="A148">
        <v>210</v>
      </c>
      <c r="B148">
        <v>7.1995979340909084</v>
      </c>
      <c r="O148">
        <v>0.49</v>
      </c>
      <c r="P148" s="6">
        <f t="shared" si="3"/>
        <v>0.98088376042272729</v>
      </c>
    </row>
    <row r="149" spans="1:16">
      <c r="A149">
        <v>212</v>
      </c>
      <c r="B149">
        <v>7.5620512877272743</v>
      </c>
      <c r="O149">
        <v>0.49199999999999999</v>
      </c>
      <c r="P149" s="6">
        <f t="shared" si="3"/>
        <v>0.98101983481363664</v>
      </c>
    </row>
    <row r="150" spans="1:16">
      <c r="A150">
        <v>214</v>
      </c>
      <c r="B150">
        <v>8.1842951613636377</v>
      </c>
      <c r="O150">
        <v>0.49399999999999999</v>
      </c>
      <c r="P150" s="6">
        <f t="shared" si="3"/>
        <v>0.98115388211818166</v>
      </c>
    </row>
    <row r="151" spans="1:16">
      <c r="A151">
        <v>216</v>
      </c>
      <c r="B151">
        <v>9.214580394090909</v>
      </c>
      <c r="O151">
        <v>0.496</v>
      </c>
      <c r="P151" s="6">
        <f t="shared" si="3"/>
        <v>0.98126489426818164</v>
      </c>
    </row>
    <row r="152" spans="1:16">
      <c r="A152">
        <v>218</v>
      </c>
      <c r="B152">
        <v>10.583402979545454</v>
      </c>
      <c r="O152">
        <v>0.498</v>
      </c>
      <c r="P152" s="6">
        <f t="shared" si="3"/>
        <v>0.98136261321818186</v>
      </c>
    </row>
    <row r="153" spans="1:16">
      <c r="A153">
        <v>220</v>
      </c>
      <c r="B153">
        <v>12.395837540909092</v>
      </c>
      <c r="O153">
        <v>0.5</v>
      </c>
      <c r="P153" s="6">
        <f t="shared" si="3"/>
        <v>0.98144394723181816</v>
      </c>
    </row>
    <row r="154" spans="1:16">
      <c r="A154">
        <v>222</v>
      </c>
      <c r="B154">
        <v>14.500656741818181</v>
      </c>
      <c r="O154">
        <v>0.502</v>
      </c>
      <c r="P154" s="6">
        <f t="shared" si="3"/>
        <v>0.98152306601363637</v>
      </c>
    </row>
    <row r="155" spans="1:16">
      <c r="A155">
        <v>224</v>
      </c>
      <c r="B155">
        <v>16.779938066818183</v>
      </c>
      <c r="O155">
        <v>0.504</v>
      </c>
      <c r="P155" s="6">
        <f t="shared" si="3"/>
        <v>0.98161713874090895</v>
      </c>
    </row>
    <row r="156" spans="1:16">
      <c r="A156">
        <v>226</v>
      </c>
      <c r="B156">
        <v>19.067343566818181</v>
      </c>
      <c r="O156">
        <v>0.50600000000000001</v>
      </c>
      <c r="P156" s="6">
        <f t="shared" si="3"/>
        <v>0.98172193033181798</v>
      </c>
    </row>
    <row r="157" spans="1:16">
      <c r="A157">
        <v>228</v>
      </c>
      <c r="B157">
        <v>21.290366596818181</v>
      </c>
      <c r="O157">
        <v>0.50800000000000001</v>
      </c>
      <c r="P157" s="6">
        <f t="shared" si="3"/>
        <v>0.98180494860909073</v>
      </c>
    </row>
    <row r="158" spans="1:16">
      <c r="A158">
        <v>230</v>
      </c>
      <c r="B158">
        <v>23.37135672363636</v>
      </c>
      <c r="O158">
        <v>0.51</v>
      </c>
      <c r="P158" s="6">
        <f t="shared" si="3"/>
        <v>0.98189128566363626</v>
      </c>
    </row>
    <row r="159" spans="1:16">
      <c r="A159">
        <v>232</v>
      </c>
      <c r="B159">
        <v>25.269189149999999</v>
      </c>
      <c r="O159">
        <v>0.51200000000000001</v>
      </c>
      <c r="P159" s="6">
        <f t="shared" si="3"/>
        <v>0.98197834997272726</v>
      </c>
    </row>
    <row r="160" spans="1:16">
      <c r="A160">
        <v>234</v>
      </c>
      <c r="B160">
        <v>26.960804660454542</v>
      </c>
      <c r="O160">
        <v>0.51400000000000001</v>
      </c>
      <c r="P160" s="6">
        <f t="shared" si="3"/>
        <v>0.98206152202272734</v>
      </c>
    </row>
    <row r="161" spans="1:16">
      <c r="A161">
        <v>236</v>
      </c>
      <c r="B161">
        <v>28.428378734545458</v>
      </c>
      <c r="O161">
        <v>0.51600000000000001</v>
      </c>
      <c r="P161" s="6">
        <f t="shared" si="3"/>
        <v>0.98213251889090913</v>
      </c>
    </row>
    <row r="162" spans="1:16">
      <c r="A162">
        <v>238</v>
      </c>
      <c r="B162">
        <v>29.674128503636368</v>
      </c>
      <c r="O162">
        <v>0.51800000000000002</v>
      </c>
      <c r="P162" s="6">
        <f t="shared" si="3"/>
        <v>0.98221205557272728</v>
      </c>
    </row>
    <row r="163" spans="1:16">
      <c r="A163">
        <v>240</v>
      </c>
      <c r="B163">
        <v>30.693716491363642</v>
      </c>
      <c r="O163">
        <v>0.52</v>
      </c>
      <c r="P163" s="6">
        <f t="shared" si="3"/>
        <v>0.98229823614090905</v>
      </c>
    </row>
    <row r="164" spans="1:16">
      <c r="A164">
        <v>242</v>
      </c>
      <c r="B164">
        <v>31.495854465454546</v>
      </c>
      <c r="O164">
        <v>0.52200000000000002</v>
      </c>
      <c r="P164" s="6">
        <f t="shared" si="3"/>
        <v>0.98238808102272723</v>
      </c>
    </row>
    <row r="165" spans="1:16">
      <c r="A165">
        <v>244</v>
      </c>
      <c r="B165">
        <v>32.086479229090905</v>
      </c>
      <c r="O165">
        <v>0.52400000000000002</v>
      </c>
      <c r="P165" s="6">
        <f t="shared" si="3"/>
        <v>0.98245896120454534</v>
      </c>
    </row>
    <row r="166" spans="1:16">
      <c r="A166">
        <v>246</v>
      </c>
      <c r="B166">
        <v>32.477710063181817</v>
      </c>
      <c r="O166">
        <v>0.52600000000000002</v>
      </c>
      <c r="P166" s="6">
        <f t="shared" si="3"/>
        <v>0.98252417983636375</v>
      </c>
    </row>
    <row r="167" spans="1:16">
      <c r="A167">
        <v>248</v>
      </c>
      <c r="B167">
        <v>32.676848729999996</v>
      </c>
      <c r="O167">
        <v>0.52800000000000002</v>
      </c>
      <c r="P167" s="6">
        <f t="shared" si="3"/>
        <v>0.98257159972727282</v>
      </c>
    </row>
    <row r="168" spans="1:16">
      <c r="A168">
        <v>250</v>
      </c>
      <c r="B168">
        <v>32.693556498636362</v>
      </c>
      <c r="O168">
        <v>0.53</v>
      </c>
      <c r="P168" s="6">
        <f t="shared" si="3"/>
        <v>0.98264219407272724</v>
      </c>
    </row>
    <row r="169" spans="1:16">
      <c r="A169">
        <v>252</v>
      </c>
      <c r="B169">
        <v>32.53002634909091</v>
      </c>
      <c r="O169">
        <v>0.53200000000000003</v>
      </c>
      <c r="P169" s="6">
        <f t="shared" si="3"/>
        <v>0.98269512083636357</v>
      </c>
    </row>
    <row r="170" spans="1:16">
      <c r="A170">
        <v>254</v>
      </c>
      <c r="B170">
        <v>32.20767402818182</v>
      </c>
      <c r="O170">
        <v>0.53400000000000003</v>
      </c>
      <c r="P170" s="6">
        <f t="shared" si="3"/>
        <v>0.98274199076363644</v>
      </c>
    </row>
    <row r="171" spans="1:16">
      <c r="A171">
        <v>256</v>
      </c>
      <c r="B171">
        <v>31.730103335454547</v>
      </c>
      <c r="O171">
        <v>0.53600000000000003</v>
      </c>
      <c r="P171" s="6">
        <f t="shared" si="3"/>
        <v>0.98278971910454549</v>
      </c>
    </row>
    <row r="172" spans="1:16">
      <c r="A172">
        <v>258</v>
      </c>
      <c r="B172">
        <v>31.098458701818181</v>
      </c>
      <c r="O172">
        <v>0.53800000000000003</v>
      </c>
      <c r="P172" s="6">
        <f t="shared" si="3"/>
        <v>0.98282832329545444</v>
      </c>
    </row>
    <row r="173" spans="1:16">
      <c r="A173">
        <v>260</v>
      </c>
      <c r="B173">
        <v>30.322806813636372</v>
      </c>
      <c r="O173">
        <v>0.54</v>
      </c>
      <c r="P173" s="6">
        <f t="shared" si="3"/>
        <v>0.98286744036363627</v>
      </c>
    </row>
    <row r="174" spans="1:16">
      <c r="A174">
        <v>262</v>
      </c>
      <c r="B174">
        <v>29.412388597727276</v>
      </c>
      <c r="O174">
        <v>0.54200000000000004</v>
      </c>
      <c r="P174" s="6">
        <f t="shared" si="3"/>
        <v>0.98289658391363632</v>
      </c>
    </row>
    <row r="175" spans="1:16">
      <c r="A175">
        <v>264</v>
      </c>
      <c r="B175">
        <v>28.380382738636364</v>
      </c>
      <c r="O175">
        <v>0.54400000000000004</v>
      </c>
      <c r="P175" s="6">
        <f t="shared" si="3"/>
        <v>0.98290499799545439</v>
      </c>
    </row>
    <row r="176" spans="1:16">
      <c r="A176">
        <v>266</v>
      </c>
      <c r="B176">
        <v>27.236590257727276</v>
      </c>
      <c r="O176">
        <v>0.54600000000000004</v>
      </c>
      <c r="P176" s="6">
        <f t="shared" si="3"/>
        <v>0.98294554062727291</v>
      </c>
    </row>
    <row r="177" spans="1:16">
      <c r="A177">
        <v>268</v>
      </c>
      <c r="B177">
        <v>25.989687916818177</v>
      </c>
      <c r="O177">
        <v>0.54800000000000004</v>
      </c>
      <c r="P177" s="6">
        <f t="shared" si="3"/>
        <v>0.98297409622272736</v>
      </c>
    </row>
    <row r="178" spans="1:16">
      <c r="A178">
        <v>270</v>
      </c>
      <c r="B178">
        <v>24.654888451818181</v>
      </c>
      <c r="O178">
        <v>0.55000000000000004</v>
      </c>
      <c r="P178" s="6">
        <f t="shared" si="3"/>
        <v>0.98299769762272726</v>
      </c>
    </row>
    <row r="179" spans="1:16">
      <c r="A179">
        <v>272</v>
      </c>
      <c r="B179">
        <v>23.245546843181817</v>
      </c>
      <c r="O179">
        <v>0.55200000000000005</v>
      </c>
      <c r="P179" s="6">
        <f t="shared" si="3"/>
        <v>0.98301171626818173</v>
      </c>
    </row>
    <row r="180" spans="1:16">
      <c r="A180">
        <v>274</v>
      </c>
      <c r="B180">
        <v>21.776767552727275</v>
      </c>
      <c r="O180">
        <v>0.55400000000000005</v>
      </c>
      <c r="P180" s="6">
        <f t="shared" si="3"/>
        <v>0.98304318449999994</v>
      </c>
    </row>
    <row r="181" spans="1:16">
      <c r="A181">
        <v>276</v>
      </c>
      <c r="B181">
        <v>20.257240186818184</v>
      </c>
      <c r="O181">
        <v>0.55600000000000005</v>
      </c>
      <c r="P181" s="6">
        <f t="shared" si="3"/>
        <v>0.98306359647272745</v>
      </c>
    </row>
    <row r="182" spans="1:16">
      <c r="A182">
        <v>278</v>
      </c>
      <c r="B182">
        <v>18.700125248636365</v>
      </c>
      <c r="O182">
        <v>0.55800000000000005</v>
      </c>
      <c r="P182" s="6">
        <f t="shared" si="3"/>
        <v>0.98308421468181806</v>
      </c>
    </row>
    <row r="183" spans="1:16">
      <c r="A183">
        <v>280</v>
      </c>
      <c r="B183">
        <v>17.119878550454544</v>
      </c>
      <c r="O183">
        <v>0.56000000000000005</v>
      </c>
      <c r="P183" s="6">
        <f t="shared" si="3"/>
        <v>0.98310210478181814</v>
      </c>
    </row>
    <row r="184" spans="1:16">
      <c r="A184">
        <v>282</v>
      </c>
      <c r="B184">
        <v>15.533689440909093</v>
      </c>
      <c r="O184">
        <v>0.56200000000000006</v>
      </c>
      <c r="P184" s="6">
        <f t="shared" si="3"/>
        <v>0.98309709179090898</v>
      </c>
    </row>
    <row r="185" spans="1:16">
      <c r="A185">
        <v>284</v>
      </c>
      <c r="B185">
        <v>13.957160243636364</v>
      </c>
      <c r="O185">
        <v>0.56399999999999995</v>
      </c>
      <c r="P185" s="6">
        <f t="shared" si="3"/>
        <v>0.98309687741363627</v>
      </c>
    </row>
    <row r="186" spans="1:16">
      <c r="A186">
        <v>286</v>
      </c>
      <c r="B186">
        <v>12.412795778181819</v>
      </c>
      <c r="O186">
        <v>0.56599999999999995</v>
      </c>
      <c r="P186" s="6">
        <f t="shared" si="3"/>
        <v>0.98311510490909104</v>
      </c>
    </row>
    <row r="187" spans="1:16">
      <c r="A187">
        <v>288</v>
      </c>
      <c r="B187">
        <v>10.929101709090908</v>
      </c>
      <c r="O187">
        <v>0.56799999999999995</v>
      </c>
      <c r="P187" s="6">
        <f t="shared" si="3"/>
        <v>0.98310802231818184</v>
      </c>
    </row>
    <row r="188" spans="1:16">
      <c r="A188">
        <v>290</v>
      </c>
      <c r="B188">
        <v>9.5411346904545447</v>
      </c>
      <c r="O188">
        <v>0.56999999999999995</v>
      </c>
      <c r="P188" s="6">
        <f t="shared" si="3"/>
        <v>0.98311657479545478</v>
      </c>
    </row>
    <row r="189" spans="1:16">
      <c r="A189">
        <v>292</v>
      </c>
      <c r="B189">
        <v>8.2965039345454539</v>
      </c>
      <c r="O189">
        <v>0.57199999999999995</v>
      </c>
      <c r="P189" s="6">
        <f t="shared" si="3"/>
        <v>0.98312087862272735</v>
      </c>
    </row>
    <row r="190" spans="1:16">
      <c r="A190">
        <v>294</v>
      </c>
      <c r="B190">
        <v>7.2475703213636375</v>
      </c>
      <c r="O190">
        <v>0.57399999999999995</v>
      </c>
      <c r="P190" s="6">
        <f t="shared" si="3"/>
        <v>0.98312711817727261</v>
      </c>
    </row>
    <row r="191" spans="1:16">
      <c r="A191">
        <v>296</v>
      </c>
      <c r="B191">
        <v>6.4398966195454541</v>
      </c>
      <c r="O191">
        <v>0.57599999999999996</v>
      </c>
      <c r="P191" s="6">
        <f t="shared" si="3"/>
        <v>0.98310782964999988</v>
      </c>
    </row>
    <row r="192" spans="1:16">
      <c r="A192">
        <v>298</v>
      </c>
      <c r="B192">
        <v>5.8918129904545467</v>
      </c>
      <c r="O192">
        <v>0.57799999999999996</v>
      </c>
      <c r="P192" s="6">
        <f t="shared" si="3"/>
        <v>0.98309981809090918</v>
      </c>
    </row>
    <row r="193" spans="1:16">
      <c r="A193">
        <v>300</v>
      </c>
      <c r="B193">
        <v>5.5958472554545455</v>
      </c>
      <c r="O193">
        <v>0.57999999999999996</v>
      </c>
      <c r="P193" s="6">
        <f t="shared" si="3"/>
        <v>0.98309244966363651</v>
      </c>
    </row>
    <row r="194" spans="1:16">
      <c r="A194">
        <v>302</v>
      </c>
      <c r="B194">
        <v>5.5011149336363632</v>
      </c>
      <c r="O194">
        <v>0.58199999999999996</v>
      </c>
      <c r="P194" s="6">
        <f t="shared" si="3"/>
        <v>0.98308556154999993</v>
      </c>
    </row>
    <row r="195" spans="1:16">
      <c r="A195">
        <v>304</v>
      </c>
      <c r="B195">
        <v>5.6093163895454543</v>
      </c>
      <c r="O195">
        <v>0.58399999999999996</v>
      </c>
      <c r="P195" s="6">
        <f t="shared" si="3"/>
        <v>0.98309751873636375</v>
      </c>
    </row>
    <row r="196" spans="1:16">
      <c r="A196">
        <v>306</v>
      </c>
      <c r="B196">
        <v>6.1259055550000001</v>
      </c>
      <c r="O196">
        <v>0.58599999999999997</v>
      </c>
      <c r="P196" s="6">
        <f t="shared" ref="P196:P259" si="4">B336/100</f>
        <v>0.98312084063181826</v>
      </c>
    </row>
    <row r="197" spans="1:16">
      <c r="A197">
        <v>308</v>
      </c>
      <c r="B197">
        <v>7.360072800454545</v>
      </c>
      <c r="O197">
        <v>0.58799999999999997</v>
      </c>
      <c r="P197" s="6">
        <f t="shared" si="4"/>
        <v>0.98310633081818177</v>
      </c>
    </row>
    <row r="198" spans="1:16">
      <c r="A198">
        <v>310</v>
      </c>
      <c r="B198">
        <v>9.4978216168181824</v>
      </c>
      <c r="O198">
        <v>0.59</v>
      </c>
      <c r="P198" s="6">
        <f t="shared" si="4"/>
        <v>0.98309896962727283</v>
      </c>
    </row>
    <row r="199" spans="1:16">
      <c r="A199">
        <v>312</v>
      </c>
      <c r="B199">
        <v>12.530180993636364</v>
      </c>
      <c r="O199">
        <v>0.59199999999999997</v>
      </c>
      <c r="P199" s="6">
        <f t="shared" si="4"/>
        <v>0.98307755451363632</v>
      </c>
    </row>
    <row r="200" spans="1:16">
      <c r="A200">
        <v>314</v>
      </c>
      <c r="B200">
        <v>16.307880307272729</v>
      </c>
      <c r="O200">
        <v>0.59399999999999997</v>
      </c>
      <c r="P200" s="6">
        <f t="shared" si="4"/>
        <v>0.98307013271818167</v>
      </c>
    </row>
    <row r="201" spans="1:16">
      <c r="A201">
        <v>316</v>
      </c>
      <c r="B201">
        <v>20.630289114545459</v>
      </c>
      <c r="O201">
        <v>0.59599999999999997</v>
      </c>
      <c r="P201" s="6">
        <f t="shared" si="4"/>
        <v>0.98305406165909082</v>
      </c>
    </row>
    <row r="202" spans="1:16">
      <c r="A202">
        <v>318</v>
      </c>
      <c r="B202">
        <v>25.301978199090911</v>
      </c>
      <c r="O202">
        <v>0.59799999999999998</v>
      </c>
      <c r="P202" s="6">
        <f t="shared" si="4"/>
        <v>0.98305831392727272</v>
      </c>
    </row>
    <row r="203" spans="1:16">
      <c r="A203">
        <v>320</v>
      </c>
      <c r="B203">
        <v>30.16527769</v>
      </c>
      <c r="O203">
        <v>0.6</v>
      </c>
      <c r="P203" s="6">
        <f t="shared" si="4"/>
        <v>0.98305355601818178</v>
      </c>
    </row>
    <row r="204" spans="1:16">
      <c r="A204">
        <v>322</v>
      </c>
      <c r="B204">
        <v>35.123692035000005</v>
      </c>
      <c r="O204">
        <v>0.60199999999999998</v>
      </c>
      <c r="P204" s="6">
        <f t="shared" si="4"/>
        <v>0.98304742319999971</v>
      </c>
    </row>
    <row r="205" spans="1:16">
      <c r="A205">
        <v>324</v>
      </c>
      <c r="B205">
        <v>40.153013064999996</v>
      </c>
      <c r="O205">
        <v>0.60399999999999998</v>
      </c>
      <c r="P205" s="6">
        <f t="shared" si="4"/>
        <v>0.98302368430909115</v>
      </c>
    </row>
    <row r="206" spans="1:16">
      <c r="A206">
        <v>326</v>
      </c>
      <c r="B206">
        <v>45.180439343636365</v>
      </c>
      <c r="O206">
        <v>0.60599999999999998</v>
      </c>
      <c r="P206" s="6">
        <f t="shared" si="4"/>
        <v>0.98299051281818162</v>
      </c>
    </row>
    <row r="207" spans="1:16">
      <c r="A207">
        <v>328</v>
      </c>
      <c r="B207">
        <v>49.948334978181826</v>
      </c>
      <c r="O207">
        <v>0.60799999999999998</v>
      </c>
      <c r="P207" s="6">
        <f t="shared" si="4"/>
        <v>0.98296606838181821</v>
      </c>
    </row>
    <row r="208" spans="1:16">
      <c r="A208">
        <v>330</v>
      </c>
      <c r="B208">
        <v>54.091176768636373</v>
      </c>
      <c r="O208">
        <v>0.61</v>
      </c>
      <c r="P208" s="6">
        <f t="shared" si="4"/>
        <v>0.98296568123636363</v>
      </c>
    </row>
    <row r="209" spans="1:16">
      <c r="A209">
        <v>332</v>
      </c>
      <c r="B209">
        <v>57.365234670909089</v>
      </c>
      <c r="O209">
        <v>0.61199999999999999</v>
      </c>
      <c r="P209" s="6">
        <f t="shared" si="4"/>
        <v>0.98294512815454549</v>
      </c>
    </row>
    <row r="210" spans="1:16">
      <c r="A210">
        <v>334</v>
      </c>
      <c r="B210">
        <v>59.726885080909106</v>
      </c>
      <c r="O210">
        <v>0.61399999999999999</v>
      </c>
      <c r="P210" s="6">
        <f t="shared" si="4"/>
        <v>0.98291787781818185</v>
      </c>
    </row>
    <row r="211" spans="1:16">
      <c r="A211">
        <v>336</v>
      </c>
      <c r="B211">
        <v>61.272561589545447</v>
      </c>
      <c r="O211">
        <v>0.61599999999999999</v>
      </c>
      <c r="P211" s="6">
        <f t="shared" si="4"/>
        <v>0.98289930930909108</v>
      </c>
    </row>
    <row r="212" spans="1:16">
      <c r="A212">
        <v>338</v>
      </c>
      <c r="B212">
        <v>62.154971279090901</v>
      </c>
      <c r="O212">
        <v>0.61799999999999999</v>
      </c>
      <c r="P212" s="6">
        <f t="shared" si="4"/>
        <v>0.98286909568181802</v>
      </c>
    </row>
    <row r="213" spans="1:16">
      <c r="A213">
        <v>340</v>
      </c>
      <c r="B213">
        <v>62.535425268181818</v>
      </c>
      <c r="O213">
        <v>0.62</v>
      </c>
      <c r="P213" s="6">
        <f t="shared" si="4"/>
        <v>0.98283440274545453</v>
      </c>
    </row>
    <row r="214" spans="1:16">
      <c r="A214">
        <v>342</v>
      </c>
      <c r="B214">
        <v>62.563777883636369</v>
      </c>
      <c r="O214">
        <v>0.622</v>
      </c>
      <c r="P214" s="6">
        <f t="shared" si="4"/>
        <v>0.98280166543636371</v>
      </c>
    </row>
    <row r="215" spans="1:16">
      <c r="A215">
        <v>344</v>
      </c>
      <c r="B215">
        <v>62.368975336363647</v>
      </c>
      <c r="O215">
        <v>0.624</v>
      </c>
      <c r="P215" s="6">
        <f t="shared" si="4"/>
        <v>0.98275279646363634</v>
      </c>
    </row>
    <row r="216" spans="1:16">
      <c r="A216">
        <v>346</v>
      </c>
      <c r="B216">
        <v>62.054294646363637</v>
      </c>
      <c r="O216">
        <v>0.626</v>
      </c>
      <c r="P216" s="6">
        <f t="shared" si="4"/>
        <v>0.98273156859090904</v>
      </c>
    </row>
    <row r="217" spans="1:16">
      <c r="A217">
        <v>348</v>
      </c>
      <c r="B217">
        <v>61.720857392272727</v>
      </c>
      <c r="O217">
        <v>0.628</v>
      </c>
      <c r="P217" s="6">
        <f t="shared" si="4"/>
        <v>0.98272493646363612</v>
      </c>
    </row>
    <row r="218" spans="1:16">
      <c r="A218">
        <v>350</v>
      </c>
      <c r="B218">
        <v>61.467844269545459</v>
      </c>
      <c r="O218">
        <v>0.63</v>
      </c>
      <c r="P218" s="6">
        <f t="shared" si="4"/>
        <v>0.98267700007727266</v>
      </c>
    </row>
    <row r="219" spans="1:16">
      <c r="A219">
        <v>352</v>
      </c>
      <c r="B219">
        <v>61.390766685000003</v>
      </c>
      <c r="O219">
        <v>0.63200000000000001</v>
      </c>
      <c r="P219" s="6">
        <f t="shared" si="4"/>
        <v>0.98263347063636364</v>
      </c>
    </row>
    <row r="220" spans="1:16">
      <c r="A220">
        <v>354</v>
      </c>
      <c r="B220">
        <v>61.58115260818181</v>
      </c>
      <c r="O220">
        <v>0.63400000000000001</v>
      </c>
      <c r="P220" s="6">
        <f t="shared" si="4"/>
        <v>0.98259436984999993</v>
      </c>
    </row>
    <row r="221" spans="1:16">
      <c r="A221">
        <v>356</v>
      </c>
      <c r="B221">
        <v>62.103587489090906</v>
      </c>
      <c r="O221">
        <v>0.63600000000000001</v>
      </c>
      <c r="P221" s="6">
        <f t="shared" si="4"/>
        <v>0.98256248914545452</v>
      </c>
    </row>
    <row r="222" spans="1:16">
      <c r="A222">
        <v>358</v>
      </c>
      <c r="B222">
        <v>62.989692789545451</v>
      </c>
      <c r="O222">
        <v>0.63800000000000001</v>
      </c>
      <c r="P222" s="6">
        <f t="shared" si="4"/>
        <v>0.98252727157272735</v>
      </c>
    </row>
    <row r="223" spans="1:16">
      <c r="A223">
        <v>360</v>
      </c>
      <c r="B223">
        <v>64.239265258181817</v>
      </c>
      <c r="O223">
        <v>0.64</v>
      </c>
      <c r="P223" s="6">
        <f t="shared" si="4"/>
        <v>0.98249974444545463</v>
      </c>
    </row>
    <row r="224" spans="1:16">
      <c r="A224">
        <v>362</v>
      </c>
      <c r="B224">
        <v>65.823235427272721</v>
      </c>
      <c r="O224">
        <v>0.64200000000000002</v>
      </c>
      <c r="P224" s="6">
        <f t="shared" si="4"/>
        <v>0.9824473341772727</v>
      </c>
    </row>
    <row r="225" spans="1:16">
      <c r="A225">
        <v>364</v>
      </c>
      <c r="B225">
        <v>67.721266672727282</v>
      </c>
      <c r="O225">
        <v>0.64400000000000002</v>
      </c>
      <c r="P225" s="6">
        <f t="shared" si="4"/>
        <v>0.98241465747272727</v>
      </c>
    </row>
    <row r="226" spans="1:16">
      <c r="A226">
        <v>366</v>
      </c>
      <c r="B226">
        <v>69.881834638181815</v>
      </c>
      <c r="O226">
        <v>0.64600000000000002</v>
      </c>
      <c r="P226" s="6">
        <f t="shared" si="4"/>
        <v>0.98240692813181818</v>
      </c>
    </row>
    <row r="227" spans="1:16">
      <c r="A227">
        <v>368</v>
      </c>
      <c r="B227">
        <v>72.21652977454545</v>
      </c>
      <c r="O227">
        <v>0.64800000000000002</v>
      </c>
      <c r="P227" s="6">
        <f t="shared" si="4"/>
        <v>0.98238004504090892</v>
      </c>
    </row>
    <row r="228" spans="1:16">
      <c r="A228">
        <v>370</v>
      </c>
      <c r="B228">
        <v>74.656099991363632</v>
      </c>
      <c r="O228">
        <v>0.65</v>
      </c>
      <c r="P228" s="6">
        <f t="shared" si="4"/>
        <v>0.98232753979545451</v>
      </c>
    </row>
    <row r="229" spans="1:16">
      <c r="A229">
        <v>372</v>
      </c>
      <c r="B229">
        <v>77.12184105999998</v>
      </c>
      <c r="O229">
        <v>0.65200000000000002</v>
      </c>
      <c r="P229" s="6">
        <f t="shared" si="4"/>
        <v>0.98229874630454528</v>
      </c>
    </row>
    <row r="230" spans="1:16">
      <c r="A230">
        <v>374</v>
      </c>
      <c r="B230">
        <v>79.534849932727255</v>
      </c>
      <c r="O230">
        <v>0.65400000000000003</v>
      </c>
      <c r="P230" s="6">
        <f t="shared" si="4"/>
        <v>0.98226112445000002</v>
      </c>
    </row>
    <row r="231" spans="1:16">
      <c r="A231">
        <v>376</v>
      </c>
      <c r="B231">
        <v>81.819424295909087</v>
      </c>
      <c r="O231">
        <v>0.65600000000000003</v>
      </c>
      <c r="P231" s="6">
        <f t="shared" si="4"/>
        <v>0.98222383004090918</v>
      </c>
    </row>
    <row r="232" spans="1:16">
      <c r="A232">
        <v>378</v>
      </c>
      <c r="B232">
        <v>83.917421505454541</v>
      </c>
      <c r="O232">
        <v>0.65800000000000003</v>
      </c>
      <c r="P232" s="6">
        <f t="shared" si="4"/>
        <v>0.98219078247272729</v>
      </c>
    </row>
    <row r="233" spans="1:16">
      <c r="A233">
        <v>380</v>
      </c>
      <c r="B233">
        <v>85.793409339999982</v>
      </c>
      <c r="O233">
        <v>0.66</v>
      </c>
      <c r="P233" s="6">
        <f t="shared" si="4"/>
        <v>0.98214651582727286</v>
      </c>
    </row>
    <row r="234" spans="1:16">
      <c r="A234">
        <v>382</v>
      </c>
      <c r="B234">
        <v>87.433670729545426</v>
      </c>
      <c r="O234">
        <v>0.66200000000000003</v>
      </c>
      <c r="P234" s="6">
        <f t="shared" si="4"/>
        <v>0.98209544428636364</v>
      </c>
    </row>
    <row r="235" spans="1:16">
      <c r="A235">
        <v>384</v>
      </c>
      <c r="B235">
        <v>88.847510280909063</v>
      </c>
      <c r="O235">
        <v>0.66400000000000003</v>
      </c>
      <c r="P235" s="6">
        <f t="shared" si="4"/>
        <v>0.98208743815454536</v>
      </c>
    </row>
    <row r="236" spans="1:16">
      <c r="A236">
        <v>386</v>
      </c>
      <c r="B236">
        <v>90.030913983181833</v>
      </c>
      <c r="O236">
        <v>0.66600000000000004</v>
      </c>
      <c r="P236" s="6">
        <f t="shared" si="4"/>
        <v>0.98205701829090908</v>
      </c>
    </row>
    <row r="237" spans="1:16">
      <c r="A237">
        <v>388</v>
      </c>
      <c r="B237">
        <v>91.007662426818186</v>
      </c>
      <c r="O237">
        <v>0.66800000000000004</v>
      </c>
      <c r="P237" s="6">
        <f t="shared" si="4"/>
        <v>0.98201527080454554</v>
      </c>
    </row>
    <row r="238" spans="1:16">
      <c r="A238">
        <v>390</v>
      </c>
      <c r="B238">
        <v>91.83428852681817</v>
      </c>
      <c r="O238">
        <v>0.67</v>
      </c>
      <c r="P238" s="6">
        <f t="shared" si="4"/>
        <v>0.98198456962727265</v>
      </c>
    </row>
    <row r="239" spans="1:16">
      <c r="A239">
        <v>392</v>
      </c>
      <c r="B239">
        <v>92.534861604545455</v>
      </c>
      <c r="O239">
        <v>0.67200000000000004</v>
      </c>
      <c r="P239" s="6">
        <f t="shared" si="4"/>
        <v>0.9819544545954545</v>
      </c>
    </row>
    <row r="240" spans="1:16">
      <c r="A240">
        <v>394</v>
      </c>
      <c r="B240">
        <v>93.130447347727284</v>
      </c>
      <c r="O240">
        <v>0.67400000000000004</v>
      </c>
      <c r="P240" s="6">
        <f t="shared" si="4"/>
        <v>0.98193579472727266</v>
      </c>
    </row>
    <row r="241" spans="1:16">
      <c r="A241">
        <v>396</v>
      </c>
      <c r="B241">
        <v>93.639559269090896</v>
      </c>
      <c r="O241">
        <v>0.67600000000000005</v>
      </c>
      <c r="P241" s="6">
        <f t="shared" si="4"/>
        <v>0.9819244851954545</v>
      </c>
    </row>
    <row r="242" spans="1:16">
      <c r="A242">
        <v>398</v>
      </c>
      <c r="B242">
        <v>94.078600305454543</v>
      </c>
      <c r="O242">
        <v>0.67800000000000005</v>
      </c>
      <c r="P242" s="6">
        <f t="shared" si="4"/>
        <v>0.98192318355454544</v>
      </c>
    </row>
    <row r="243" spans="1:16">
      <c r="A243">
        <v>400</v>
      </c>
      <c r="B243">
        <v>94.457647183636368</v>
      </c>
      <c r="O243">
        <v>0.68</v>
      </c>
      <c r="P243" s="6">
        <f t="shared" si="4"/>
        <v>0.98192486962727288</v>
      </c>
    </row>
    <row r="244" spans="1:16">
      <c r="A244">
        <v>402</v>
      </c>
      <c r="B244">
        <v>94.787423018636375</v>
      </c>
      <c r="O244">
        <v>0.68200000000000005</v>
      </c>
      <c r="P244" s="6">
        <f t="shared" si="4"/>
        <v>0.98188795241363636</v>
      </c>
    </row>
    <row r="245" spans="1:16">
      <c r="A245">
        <v>404</v>
      </c>
      <c r="B245">
        <v>95.075359646363665</v>
      </c>
      <c r="O245">
        <v>0.68400000000000005</v>
      </c>
      <c r="P245" s="6">
        <f t="shared" si="4"/>
        <v>0.98187425759545433</v>
      </c>
    </row>
    <row r="246" spans="1:16">
      <c r="A246">
        <v>406</v>
      </c>
      <c r="B246">
        <v>95.328804418181804</v>
      </c>
      <c r="O246">
        <v>0.68600000000000005</v>
      </c>
      <c r="P246" s="6">
        <f t="shared" si="4"/>
        <v>0.98183848553636355</v>
      </c>
    </row>
    <row r="247" spans="1:16">
      <c r="A247">
        <v>408</v>
      </c>
      <c r="B247">
        <v>95.55603130181818</v>
      </c>
      <c r="O247">
        <v>0.68799999999999994</v>
      </c>
      <c r="P247" s="6">
        <f t="shared" si="4"/>
        <v>0.98180213728181809</v>
      </c>
    </row>
    <row r="248" spans="1:16">
      <c r="A248">
        <v>410</v>
      </c>
      <c r="B248">
        <v>95.760027106363637</v>
      </c>
      <c r="O248">
        <v>0.69</v>
      </c>
      <c r="P248" s="6">
        <f t="shared" si="4"/>
        <v>0.98176717026818183</v>
      </c>
    </row>
    <row r="249" spans="1:16">
      <c r="A249">
        <v>412</v>
      </c>
      <c r="B249">
        <v>95.942334081818174</v>
      </c>
      <c r="O249">
        <v>0.69199999999999995</v>
      </c>
      <c r="P249" s="6">
        <f t="shared" si="4"/>
        <v>0.981738452759091</v>
      </c>
    </row>
    <row r="250" spans="1:16">
      <c r="A250">
        <v>414</v>
      </c>
      <c r="B250">
        <v>96.105801998636366</v>
      </c>
      <c r="O250">
        <v>0.69399999999999995</v>
      </c>
      <c r="P250" s="6">
        <f t="shared" si="4"/>
        <v>0.98171835104545446</v>
      </c>
    </row>
    <row r="251" spans="1:16">
      <c r="A251">
        <v>416</v>
      </c>
      <c r="B251">
        <v>96.254010866818192</v>
      </c>
      <c r="O251">
        <v>0.69599999999999995</v>
      </c>
      <c r="P251" s="6">
        <f t="shared" si="4"/>
        <v>0.98167727925454562</v>
      </c>
    </row>
    <row r="252" spans="1:16">
      <c r="A252">
        <v>418</v>
      </c>
      <c r="B252">
        <v>96.389653246818199</v>
      </c>
      <c r="O252">
        <v>0.69799999999999995</v>
      </c>
      <c r="P252" s="6">
        <f t="shared" si="4"/>
        <v>0.98162339095909079</v>
      </c>
    </row>
    <row r="253" spans="1:16">
      <c r="A253">
        <v>420</v>
      </c>
      <c r="B253">
        <v>96.514082700454551</v>
      </c>
      <c r="O253">
        <v>0.7</v>
      </c>
      <c r="P253" s="6">
        <f t="shared" si="4"/>
        <v>0.98156605634545457</v>
      </c>
    </row>
    <row r="254" spans="1:16">
      <c r="A254">
        <v>422</v>
      </c>
      <c r="B254">
        <v>96.62928036318182</v>
      </c>
      <c r="O254">
        <v>0.70199999999999996</v>
      </c>
      <c r="P254" s="6">
        <f t="shared" si="4"/>
        <v>0.98150005256818174</v>
      </c>
    </row>
    <row r="255" spans="1:16">
      <c r="A255">
        <v>424</v>
      </c>
      <c r="B255">
        <v>96.734627706818159</v>
      </c>
      <c r="O255">
        <v>0.70399999999999996</v>
      </c>
      <c r="P255" s="6">
        <f t="shared" si="4"/>
        <v>0.98146004633181816</v>
      </c>
    </row>
    <row r="256" spans="1:16">
      <c r="A256">
        <v>426</v>
      </c>
      <c r="B256">
        <v>96.831333113636347</v>
      </c>
      <c r="O256">
        <v>0.70599999999999996</v>
      </c>
      <c r="P256" s="6">
        <f t="shared" si="4"/>
        <v>0.98138457467727269</v>
      </c>
    </row>
    <row r="257" spans="1:16">
      <c r="A257">
        <v>428</v>
      </c>
      <c r="B257">
        <v>96.922516541818183</v>
      </c>
      <c r="O257">
        <v>0.70799999999999996</v>
      </c>
      <c r="P257" s="6">
        <f t="shared" si="4"/>
        <v>0.98132579369545458</v>
      </c>
    </row>
    <row r="258" spans="1:16">
      <c r="A258">
        <v>430</v>
      </c>
      <c r="B258">
        <v>97.005884064090907</v>
      </c>
      <c r="O258">
        <v>0.71</v>
      </c>
      <c r="P258" s="6">
        <f t="shared" si="4"/>
        <v>0.98128892804090895</v>
      </c>
    </row>
    <row r="259" spans="1:16">
      <c r="A259">
        <v>432</v>
      </c>
      <c r="B259">
        <v>97.082984171818168</v>
      </c>
      <c r="O259">
        <v>0.71199999999999997</v>
      </c>
      <c r="P259" s="6">
        <f t="shared" si="4"/>
        <v>0.98124876441363629</v>
      </c>
    </row>
    <row r="260" spans="1:16">
      <c r="A260">
        <v>434</v>
      </c>
      <c r="B260">
        <v>97.154533626818193</v>
      </c>
      <c r="O260">
        <v>0.71399999999999997</v>
      </c>
      <c r="P260" s="6">
        <f t="shared" ref="P260:P323" si="5">B400/100</f>
        <v>0.98119002413636369</v>
      </c>
    </row>
    <row r="261" spans="1:16">
      <c r="A261">
        <v>436</v>
      </c>
      <c r="B261">
        <v>97.220211315454549</v>
      </c>
      <c r="O261">
        <v>0.71599999999999997</v>
      </c>
      <c r="P261" s="6">
        <f t="shared" si="5"/>
        <v>0.98113768984999994</v>
      </c>
    </row>
    <row r="262" spans="1:16">
      <c r="A262">
        <v>438</v>
      </c>
      <c r="B262">
        <v>97.281506933636365</v>
      </c>
      <c r="O262">
        <v>0.71799999999999997</v>
      </c>
      <c r="P262" s="6">
        <f t="shared" si="5"/>
        <v>0.98108283007272723</v>
      </c>
    </row>
    <row r="263" spans="1:16">
      <c r="A263">
        <v>440</v>
      </c>
      <c r="B263">
        <v>97.339554600454534</v>
      </c>
      <c r="O263">
        <v>0.72</v>
      </c>
      <c r="P263" s="6">
        <f t="shared" si="5"/>
        <v>0.98103441789545442</v>
      </c>
    </row>
    <row r="264" spans="1:16">
      <c r="A264">
        <v>442</v>
      </c>
      <c r="B264">
        <v>97.392844086818187</v>
      </c>
      <c r="O264">
        <v>0.72199999999999998</v>
      </c>
      <c r="P264" s="6">
        <f t="shared" si="5"/>
        <v>0.98098158972727278</v>
      </c>
    </row>
    <row r="265" spans="1:16">
      <c r="A265">
        <v>444</v>
      </c>
      <c r="B265">
        <v>97.443077656818204</v>
      </c>
      <c r="O265">
        <v>0.72399999999999998</v>
      </c>
      <c r="P265" s="6">
        <f t="shared" si="5"/>
        <v>0.98094407551363627</v>
      </c>
    </row>
    <row r="266" spans="1:16">
      <c r="A266">
        <v>446</v>
      </c>
      <c r="B266">
        <v>97.491318694090907</v>
      </c>
      <c r="O266">
        <v>0.72599999999999998</v>
      </c>
      <c r="P266" s="6">
        <f t="shared" si="5"/>
        <v>0.9809129184454547</v>
      </c>
    </row>
    <row r="267" spans="1:16">
      <c r="A267">
        <v>448</v>
      </c>
      <c r="B267">
        <v>97.538033401363634</v>
      </c>
      <c r="O267">
        <v>0.72799999999999998</v>
      </c>
      <c r="P267" s="6">
        <f t="shared" si="5"/>
        <v>0.98090093502727271</v>
      </c>
    </row>
    <row r="268" spans="1:16">
      <c r="A268">
        <v>450</v>
      </c>
      <c r="B268">
        <v>97.580818672727261</v>
      </c>
      <c r="O268">
        <v>0.73</v>
      </c>
      <c r="P268" s="6">
        <f t="shared" si="5"/>
        <v>0.98086106718636357</v>
      </c>
    </row>
    <row r="269" spans="1:16">
      <c r="A269">
        <v>452</v>
      </c>
      <c r="B269">
        <v>97.62114339954546</v>
      </c>
      <c r="O269">
        <v>0.73199999999999998</v>
      </c>
      <c r="P269" s="6">
        <f t="shared" si="5"/>
        <v>0.98080900878636368</v>
      </c>
    </row>
    <row r="270" spans="1:16">
      <c r="A270">
        <v>454</v>
      </c>
      <c r="B270">
        <v>97.658739926818185</v>
      </c>
      <c r="O270">
        <v>0.73399999999999999</v>
      </c>
      <c r="P270" s="6">
        <f t="shared" si="5"/>
        <v>0.98075891867727283</v>
      </c>
    </row>
    <row r="271" spans="1:16">
      <c r="A271">
        <v>456</v>
      </c>
      <c r="B271">
        <v>97.693909739545461</v>
      </c>
      <c r="O271">
        <v>0.73599999999999999</v>
      </c>
      <c r="P271" s="6">
        <f t="shared" si="5"/>
        <v>0.98072798322272736</v>
      </c>
    </row>
    <row r="272" spans="1:16">
      <c r="A272">
        <v>458</v>
      </c>
      <c r="B272">
        <v>97.729492658181812</v>
      </c>
      <c r="O272">
        <v>0.73799999999999999</v>
      </c>
      <c r="P272" s="6">
        <f t="shared" si="5"/>
        <v>0.98068541440909085</v>
      </c>
    </row>
    <row r="273" spans="1:16">
      <c r="A273">
        <v>460</v>
      </c>
      <c r="B273">
        <v>97.764914567727274</v>
      </c>
      <c r="O273">
        <v>0.74</v>
      </c>
      <c r="P273" s="6">
        <f t="shared" si="5"/>
        <v>0.98064579531818186</v>
      </c>
    </row>
    <row r="274" spans="1:16">
      <c r="A274">
        <v>462</v>
      </c>
      <c r="B274">
        <v>97.796825212727271</v>
      </c>
      <c r="O274">
        <v>0.74199999999999999</v>
      </c>
      <c r="P274" s="6">
        <f t="shared" si="5"/>
        <v>0.98060236899545439</v>
      </c>
    </row>
    <row r="275" spans="1:16">
      <c r="A275">
        <v>464</v>
      </c>
      <c r="B275">
        <v>97.827271760454536</v>
      </c>
      <c r="O275">
        <v>0.74399999999999999</v>
      </c>
      <c r="P275" s="6">
        <f t="shared" si="5"/>
        <v>0.98055563746363661</v>
      </c>
    </row>
    <row r="276" spans="1:16">
      <c r="A276">
        <v>466</v>
      </c>
      <c r="B276">
        <v>97.854475241363644</v>
      </c>
      <c r="O276">
        <v>0.746</v>
      </c>
      <c r="P276" s="6">
        <f t="shared" si="5"/>
        <v>0.9804996063000001</v>
      </c>
    </row>
    <row r="277" spans="1:16">
      <c r="A277">
        <v>468</v>
      </c>
      <c r="B277">
        <v>97.880292687272728</v>
      </c>
      <c r="O277">
        <v>0.748</v>
      </c>
      <c r="P277" s="6">
        <f t="shared" si="5"/>
        <v>0.98045437088636378</v>
      </c>
    </row>
    <row r="278" spans="1:16">
      <c r="A278">
        <v>470</v>
      </c>
      <c r="B278">
        <v>97.903283519090891</v>
      </c>
      <c r="O278">
        <v>0.75</v>
      </c>
      <c r="P278" s="6">
        <f t="shared" si="5"/>
        <v>0.98041131271363635</v>
      </c>
    </row>
    <row r="279" spans="1:16">
      <c r="A279">
        <v>472</v>
      </c>
      <c r="B279">
        <v>97.925580202727275</v>
      </c>
      <c r="O279">
        <v>0.752</v>
      </c>
      <c r="P279" s="6">
        <f t="shared" si="5"/>
        <v>0.98038830650454534</v>
      </c>
    </row>
    <row r="280" spans="1:16">
      <c r="A280">
        <v>474</v>
      </c>
      <c r="B280">
        <v>97.948105012727268</v>
      </c>
      <c r="O280">
        <v>0.754</v>
      </c>
      <c r="P280" s="6">
        <f t="shared" si="5"/>
        <v>0.98035432363636366</v>
      </c>
    </row>
    <row r="281" spans="1:16">
      <c r="A281">
        <v>476</v>
      </c>
      <c r="B281">
        <v>97.969584077727276</v>
      </c>
      <c r="O281">
        <v>0.75600000000000001</v>
      </c>
      <c r="P281" s="6">
        <f t="shared" si="5"/>
        <v>0.98030972049999998</v>
      </c>
    </row>
    <row r="282" spans="1:16">
      <c r="A282">
        <v>478</v>
      </c>
      <c r="B282">
        <v>97.992231996363643</v>
      </c>
      <c r="O282">
        <v>0.75800000000000001</v>
      </c>
      <c r="P282" s="6">
        <f t="shared" si="5"/>
        <v>0.98026124500454548</v>
      </c>
    </row>
    <row r="283" spans="1:16">
      <c r="A283">
        <v>480</v>
      </c>
      <c r="B283">
        <v>98.012593404999976</v>
      </c>
      <c r="O283">
        <v>0.76</v>
      </c>
      <c r="P283" s="6">
        <f t="shared" si="5"/>
        <v>0.98021674679545456</v>
      </c>
    </row>
    <row r="284" spans="1:16">
      <c r="A284">
        <v>482</v>
      </c>
      <c r="B284">
        <v>98.02884066954546</v>
      </c>
      <c r="O284">
        <v>0.76200000000000001</v>
      </c>
      <c r="P284" s="6">
        <f t="shared" si="5"/>
        <v>0.98016119956363634</v>
      </c>
    </row>
    <row r="285" spans="1:16">
      <c r="A285">
        <v>484</v>
      </c>
      <c r="B285">
        <v>98.044333181363655</v>
      </c>
      <c r="O285">
        <v>0.76400000000000001</v>
      </c>
      <c r="P285" s="6">
        <f t="shared" si="5"/>
        <v>0.98012028335454549</v>
      </c>
    </row>
    <row r="286" spans="1:16">
      <c r="A286">
        <v>486</v>
      </c>
      <c r="B286">
        <v>98.05951814772726</v>
      </c>
      <c r="O286">
        <v>0.76600000000000001</v>
      </c>
      <c r="P286" s="6">
        <f t="shared" si="5"/>
        <v>0.98010231455909091</v>
      </c>
    </row>
    <row r="287" spans="1:16">
      <c r="A287">
        <v>488</v>
      </c>
      <c r="B287">
        <v>98.074903380454543</v>
      </c>
      <c r="O287">
        <v>0.76800000000000002</v>
      </c>
      <c r="P287" s="6">
        <f t="shared" si="5"/>
        <v>0.98007695200909095</v>
      </c>
    </row>
    <row r="288" spans="1:16">
      <c r="A288">
        <v>490</v>
      </c>
      <c r="B288">
        <v>98.088376042272728</v>
      </c>
      <c r="O288">
        <v>0.77</v>
      </c>
      <c r="P288" s="6">
        <f t="shared" si="5"/>
        <v>0.98003711130454563</v>
      </c>
    </row>
    <row r="289" spans="1:16">
      <c r="A289">
        <v>492</v>
      </c>
      <c r="B289">
        <v>98.101983481363661</v>
      </c>
      <c r="O289">
        <v>0.77200000000000002</v>
      </c>
      <c r="P289" s="6">
        <f t="shared" si="5"/>
        <v>0.97999199709999996</v>
      </c>
    </row>
    <row r="290" spans="1:16">
      <c r="A290">
        <v>494</v>
      </c>
      <c r="B290">
        <v>98.115388211818171</v>
      </c>
      <c r="O290">
        <v>0.77400000000000002</v>
      </c>
      <c r="P290" s="6">
        <f t="shared" si="5"/>
        <v>0.97993119807727269</v>
      </c>
    </row>
    <row r="291" spans="1:16">
      <c r="A291">
        <v>496</v>
      </c>
      <c r="B291">
        <v>98.126489426818168</v>
      </c>
      <c r="O291">
        <v>0.77600000000000002</v>
      </c>
      <c r="P291" s="6">
        <f t="shared" si="5"/>
        <v>0.97986740500909064</v>
      </c>
    </row>
    <row r="292" spans="1:16">
      <c r="A292">
        <v>498</v>
      </c>
      <c r="B292">
        <v>98.136261321818182</v>
      </c>
      <c r="O292">
        <v>0.77800000000000002</v>
      </c>
      <c r="P292" s="6">
        <f t="shared" si="5"/>
        <v>0.97981496489090902</v>
      </c>
    </row>
    <row r="293" spans="1:16">
      <c r="A293">
        <v>500</v>
      </c>
      <c r="B293">
        <v>98.144394723181819</v>
      </c>
      <c r="O293">
        <v>0.78</v>
      </c>
      <c r="P293" s="6">
        <f t="shared" si="5"/>
        <v>0.97976800722272728</v>
      </c>
    </row>
    <row r="294" spans="1:16">
      <c r="A294">
        <v>502</v>
      </c>
      <c r="B294">
        <v>98.152306601363634</v>
      </c>
      <c r="O294">
        <v>0.78200000000000003</v>
      </c>
      <c r="P294" s="6">
        <f t="shared" si="5"/>
        <v>0.97972858984545441</v>
      </c>
    </row>
    <row r="295" spans="1:16">
      <c r="A295">
        <v>504</v>
      </c>
      <c r="B295">
        <v>98.161713874090893</v>
      </c>
      <c r="O295">
        <v>0.78400000000000003</v>
      </c>
      <c r="P295" s="6">
        <f t="shared" si="5"/>
        <v>0.97970167600000013</v>
      </c>
    </row>
    <row r="296" spans="1:16">
      <c r="A296">
        <v>506</v>
      </c>
      <c r="B296">
        <v>98.172193033181799</v>
      </c>
      <c r="O296">
        <v>0.78600000000000003</v>
      </c>
      <c r="P296" s="6">
        <f t="shared" si="5"/>
        <v>0.97965856084090897</v>
      </c>
    </row>
    <row r="297" spans="1:16">
      <c r="A297">
        <v>508</v>
      </c>
      <c r="B297">
        <v>98.180494860909079</v>
      </c>
      <c r="O297">
        <v>0.78800000000000003</v>
      </c>
      <c r="P297" s="6">
        <f t="shared" si="5"/>
        <v>0.97960485526363639</v>
      </c>
    </row>
    <row r="298" spans="1:16">
      <c r="A298">
        <v>510</v>
      </c>
      <c r="B298">
        <v>98.189128566363621</v>
      </c>
      <c r="O298">
        <v>0.79</v>
      </c>
      <c r="P298" s="6">
        <f t="shared" si="5"/>
        <v>0.9795583788136365</v>
      </c>
    </row>
    <row r="299" spans="1:16">
      <c r="A299">
        <v>512</v>
      </c>
      <c r="B299">
        <v>98.197834997272722</v>
      </c>
      <c r="O299">
        <v>0.79200000000000004</v>
      </c>
      <c r="P299" s="6">
        <f t="shared" si="5"/>
        <v>0.97952423403181821</v>
      </c>
    </row>
    <row r="300" spans="1:16">
      <c r="A300">
        <v>514</v>
      </c>
      <c r="B300">
        <v>98.206152202272733</v>
      </c>
      <c r="O300">
        <v>0.79400000000000004</v>
      </c>
      <c r="P300" s="6">
        <f t="shared" si="5"/>
        <v>0.97949301274090927</v>
      </c>
    </row>
    <row r="301" spans="1:16">
      <c r="A301">
        <v>516</v>
      </c>
      <c r="B301">
        <v>98.213251889090913</v>
      </c>
      <c r="O301">
        <v>0.79600000000000004</v>
      </c>
      <c r="P301" s="6">
        <f t="shared" si="5"/>
        <v>0.97945394270909103</v>
      </c>
    </row>
    <row r="302" spans="1:16">
      <c r="A302">
        <v>518</v>
      </c>
      <c r="B302">
        <v>98.221205557272725</v>
      </c>
      <c r="O302">
        <v>0.79800000000000004</v>
      </c>
      <c r="P302" s="6">
        <f t="shared" si="5"/>
        <v>0.97942627628181822</v>
      </c>
    </row>
    <row r="303" spans="1:16">
      <c r="A303">
        <v>520</v>
      </c>
      <c r="B303">
        <v>98.229823614090904</v>
      </c>
      <c r="O303">
        <v>0.8</v>
      </c>
      <c r="P303" s="6">
        <f t="shared" si="5"/>
        <v>0.97937506272727282</v>
      </c>
    </row>
    <row r="304" spans="1:16">
      <c r="A304">
        <v>522</v>
      </c>
      <c r="B304">
        <v>98.238808102272728</v>
      </c>
      <c r="O304">
        <v>0.80200000000000005</v>
      </c>
      <c r="P304" s="6">
        <f t="shared" si="5"/>
        <v>0.97931774168181851</v>
      </c>
    </row>
    <row r="305" spans="1:16">
      <c r="A305">
        <v>524</v>
      </c>
      <c r="B305">
        <v>98.245896120454532</v>
      </c>
      <c r="O305">
        <v>0.80400000000000005</v>
      </c>
      <c r="P305" s="6">
        <f t="shared" si="5"/>
        <v>0.97925634565909092</v>
      </c>
    </row>
    <row r="306" spans="1:16">
      <c r="A306">
        <v>526</v>
      </c>
      <c r="B306">
        <v>98.252417983636377</v>
      </c>
      <c r="O306">
        <v>0.80600000000000005</v>
      </c>
      <c r="P306" s="6">
        <f t="shared" si="5"/>
        <v>0.97920463822272719</v>
      </c>
    </row>
    <row r="307" spans="1:16">
      <c r="A307">
        <v>528</v>
      </c>
      <c r="B307">
        <v>98.25715997272728</v>
      </c>
      <c r="O307">
        <v>0.80800000000000005</v>
      </c>
      <c r="P307" s="6">
        <f t="shared" si="5"/>
        <v>0.97914959844090899</v>
      </c>
    </row>
    <row r="308" spans="1:16">
      <c r="A308">
        <v>530</v>
      </c>
      <c r="B308">
        <v>98.264219407272719</v>
      </c>
      <c r="O308">
        <v>0.81</v>
      </c>
      <c r="P308" s="6">
        <f t="shared" si="5"/>
        <v>0.97908116143636359</v>
      </c>
    </row>
    <row r="309" spans="1:16">
      <c r="A309">
        <v>532</v>
      </c>
      <c r="B309">
        <v>98.269512083636357</v>
      </c>
      <c r="O309">
        <v>0.81200000000000006</v>
      </c>
      <c r="P309" s="6">
        <f t="shared" si="5"/>
        <v>0.97902480554090898</v>
      </c>
    </row>
    <row r="310" spans="1:16">
      <c r="A310">
        <v>534</v>
      </c>
      <c r="B310">
        <v>98.274199076363644</v>
      </c>
      <c r="O310">
        <v>0.81399999999999995</v>
      </c>
      <c r="P310" s="6">
        <f t="shared" si="5"/>
        <v>0.9789494659500001</v>
      </c>
    </row>
    <row r="311" spans="1:16">
      <c r="A311">
        <v>536</v>
      </c>
      <c r="B311">
        <v>98.278971910454544</v>
      </c>
      <c r="O311">
        <v>0.81599999999999995</v>
      </c>
      <c r="P311" s="6">
        <f t="shared" si="5"/>
        <v>0.97887420414999982</v>
      </c>
    </row>
    <row r="312" spans="1:16">
      <c r="A312">
        <v>538</v>
      </c>
      <c r="B312">
        <v>98.282832329545442</v>
      </c>
      <c r="O312">
        <v>0.81799999999999995</v>
      </c>
      <c r="P312" s="6">
        <f t="shared" si="5"/>
        <v>0.97881142779090891</v>
      </c>
    </row>
    <row r="313" spans="1:16">
      <c r="A313">
        <v>540</v>
      </c>
      <c r="B313">
        <v>98.286744036363629</v>
      </c>
      <c r="O313">
        <v>0.82</v>
      </c>
      <c r="P313" s="6">
        <f t="shared" si="5"/>
        <v>0.97873756170454573</v>
      </c>
    </row>
    <row r="314" spans="1:16">
      <c r="A314">
        <v>542</v>
      </c>
      <c r="B314">
        <v>98.289658391363631</v>
      </c>
      <c r="O314">
        <v>0.82199999999999995</v>
      </c>
      <c r="P314" s="6">
        <f t="shared" si="5"/>
        <v>0.9786902331727273</v>
      </c>
    </row>
    <row r="315" spans="1:16">
      <c r="A315">
        <v>544</v>
      </c>
      <c r="B315">
        <v>98.290499799545444</v>
      </c>
      <c r="O315">
        <v>0.82399999999999995</v>
      </c>
      <c r="P315" s="6">
        <f t="shared" si="5"/>
        <v>0.9786371426863637</v>
      </c>
    </row>
    <row r="316" spans="1:16">
      <c r="A316">
        <v>546</v>
      </c>
      <c r="B316">
        <v>98.294554062727286</v>
      </c>
      <c r="O316">
        <v>0.82599999999999996</v>
      </c>
      <c r="P316" s="6">
        <f t="shared" si="5"/>
        <v>0.97856830858636368</v>
      </c>
    </row>
    <row r="317" spans="1:16">
      <c r="A317">
        <v>548</v>
      </c>
      <c r="B317">
        <v>98.297409622272738</v>
      </c>
      <c r="O317">
        <v>0.82799999999999996</v>
      </c>
      <c r="P317" s="6">
        <f t="shared" si="5"/>
        <v>0.97847940262272726</v>
      </c>
    </row>
    <row r="318" spans="1:16">
      <c r="A318">
        <v>550</v>
      </c>
      <c r="B318">
        <v>98.299769762272732</v>
      </c>
      <c r="O318">
        <v>0.83</v>
      </c>
      <c r="P318" s="6">
        <f t="shared" si="5"/>
        <v>0.97838565010454559</v>
      </c>
    </row>
    <row r="319" spans="1:16">
      <c r="A319">
        <v>552</v>
      </c>
      <c r="B319">
        <v>98.301171626818174</v>
      </c>
      <c r="O319">
        <v>0.83199999999999996</v>
      </c>
      <c r="P319" s="6">
        <f t="shared" si="5"/>
        <v>0.9782880577909091</v>
      </c>
    </row>
    <row r="320" spans="1:16">
      <c r="A320">
        <v>554</v>
      </c>
      <c r="B320">
        <v>98.304318449999997</v>
      </c>
      <c r="O320">
        <v>0.83399999999999996</v>
      </c>
      <c r="P320" s="6">
        <f t="shared" si="5"/>
        <v>0.97818302016363612</v>
      </c>
    </row>
    <row r="321" spans="1:16">
      <c r="A321">
        <v>556</v>
      </c>
      <c r="B321">
        <v>98.306359647272743</v>
      </c>
      <c r="O321">
        <v>0.83599999999999997</v>
      </c>
      <c r="P321" s="6">
        <f t="shared" si="5"/>
        <v>0.97812748469090915</v>
      </c>
    </row>
    <row r="322" spans="1:16">
      <c r="A322">
        <v>558</v>
      </c>
      <c r="B322">
        <v>98.308421468181805</v>
      </c>
      <c r="O322">
        <v>0.83799999999999997</v>
      </c>
      <c r="P322" s="6">
        <f t="shared" si="5"/>
        <v>0.97804645098636356</v>
      </c>
    </row>
    <row r="323" spans="1:16">
      <c r="A323">
        <v>560</v>
      </c>
      <c r="B323">
        <v>98.310210478181816</v>
      </c>
      <c r="O323">
        <v>0.84</v>
      </c>
      <c r="P323" s="6">
        <f t="shared" si="5"/>
        <v>0.97795810674545436</v>
      </c>
    </row>
    <row r="324" spans="1:16">
      <c r="A324">
        <v>562</v>
      </c>
      <c r="B324">
        <v>98.309709179090902</v>
      </c>
      <c r="O324">
        <v>0.84199999999999997</v>
      </c>
      <c r="P324" s="6">
        <f t="shared" ref="P324:P387" si="6">B464/100</f>
        <v>0.97786816507727281</v>
      </c>
    </row>
    <row r="325" spans="1:16">
      <c r="A325">
        <v>564</v>
      </c>
      <c r="B325">
        <v>98.309687741363632</v>
      </c>
      <c r="O325">
        <v>0.84399999999999997</v>
      </c>
      <c r="P325" s="6">
        <f t="shared" si="6"/>
        <v>0.97778562711363648</v>
      </c>
    </row>
    <row r="326" spans="1:16">
      <c r="A326">
        <v>566</v>
      </c>
      <c r="B326">
        <v>98.3115104909091</v>
      </c>
      <c r="O326">
        <v>0.84599999999999997</v>
      </c>
      <c r="P326" s="6">
        <f t="shared" si="6"/>
        <v>0.977768239940909</v>
      </c>
    </row>
    <row r="327" spans="1:16">
      <c r="A327">
        <v>568</v>
      </c>
      <c r="B327">
        <v>98.310802231818187</v>
      </c>
      <c r="O327">
        <v>0.84799999999999998</v>
      </c>
      <c r="P327" s="6">
        <f t="shared" si="6"/>
        <v>0.97771641943636367</v>
      </c>
    </row>
    <row r="328" spans="1:16">
      <c r="A328">
        <v>570</v>
      </c>
      <c r="B328">
        <v>98.311657479545474</v>
      </c>
      <c r="O328">
        <v>0.85</v>
      </c>
      <c r="P328" s="6">
        <f t="shared" si="6"/>
        <v>0.97766086677727271</v>
      </c>
    </row>
    <row r="329" spans="1:16">
      <c r="A329">
        <v>572</v>
      </c>
      <c r="B329">
        <v>98.312087862272733</v>
      </c>
      <c r="O329">
        <v>0.85199999999999998</v>
      </c>
      <c r="P329" s="6">
        <f t="shared" si="6"/>
        <v>0.97765586192727283</v>
      </c>
    </row>
    <row r="330" spans="1:16">
      <c r="A330">
        <v>574</v>
      </c>
      <c r="B330">
        <v>98.312711817727262</v>
      </c>
      <c r="O330">
        <v>0.85399999999999998</v>
      </c>
      <c r="P330" s="6">
        <f t="shared" si="6"/>
        <v>0.97765676285454561</v>
      </c>
    </row>
    <row r="331" spans="1:16">
      <c r="A331">
        <v>576</v>
      </c>
      <c r="B331">
        <v>98.310782964999987</v>
      </c>
      <c r="O331">
        <v>0.85599999999999998</v>
      </c>
      <c r="P331" s="6">
        <f t="shared" si="6"/>
        <v>0.97761855304545453</v>
      </c>
    </row>
    <row r="332" spans="1:16">
      <c r="A332">
        <v>578</v>
      </c>
      <c r="B332">
        <v>98.309981809090914</v>
      </c>
      <c r="O332">
        <v>0.85799999999999998</v>
      </c>
      <c r="P332" s="6">
        <f t="shared" si="6"/>
        <v>0.97755142763181813</v>
      </c>
    </row>
    <row r="333" spans="1:16">
      <c r="A333">
        <v>580</v>
      </c>
      <c r="B333">
        <v>98.30924496636365</v>
      </c>
      <c r="O333">
        <v>0.86</v>
      </c>
      <c r="P333" s="6">
        <f t="shared" si="6"/>
        <v>0.9775264667000001</v>
      </c>
    </row>
    <row r="334" spans="1:16">
      <c r="A334">
        <v>582</v>
      </c>
      <c r="B334">
        <v>98.308556154999991</v>
      </c>
      <c r="O334">
        <v>0.86199999999999999</v>
      </c>
      <c r="P334" s="6">
        <f t="shared" si="6"/>
        <v>0.97749028307272712</v>
      </c>
    </row>
    <row r="335" spans="1:16">
      <c r="A335">
        <v>584</v>
      </c>
      <c r="B335">
        <v>98.309751873636372</v>
      </c>
      <c r="O335">
        <v>0.86399999999999999</v>
      </c>
      <c r="P335" s="6">
        <f t="shared" si="6"/>
        <v>0.9774535929</v>
      </c>
    </row>
    <row r="336" spans="1:16">
      <c r="A336">
        <v>586</v>
      </c>
      <c r="B336">
        <v>98.312084063181828</v>
      </c>
      <c r="O336">
        <v>0.86599999999999999</v>
      </c>
      <c r="P336" s="6">
        <f t="shared" si="6"/>
        <v>0.9774184359318181</v>
      </c>
    </row>
    <row r="337" spans="1:16">
      <c r="A337">
        <v>588</v>
      </c>
      <c r="B337">
        <v>98.310633081818182</v>
      </c>
      <c r="O337">
        <v>0.86799999999999999</v>
      </c>
      <c r="P337" s="6">
        <f t="shared" si="6"/>
        <v>0.97729577142727275</v>
      </c>
    </row>
    <row r="338" spans="1:16">
      <c r="A338">
        <v>590</v>
      </c>
      <c r="B338">
        <v>98.309896962727279</v>
      </c>
      <c r="O338">
        <v>0.87</v>
      </c>
      <c r="P338" s="6">
        <f t="shared" si="6"/>
        <v>0.97723359659090914</v>
      </c>
    </row>
    <row r="339" spans="1:16">
      <c r="A339">
        <v>592</v>
      </c>
      <c r="B339">
        <v>98.307755451363633</v>
      </c>
      <c r="O339">
        <v>0.872</v>
      </c>
      <c r="P339" s="6">
        <f t="shared" si="6"/>
        <v>0.97720870259545445</v>
      </c>
    </row>
    <row r="340" spans="1:16">
      <c r="A340">
        <v>594</v>
      </c>
      <c r="B340">
        <v>98.307013271818164</v>
      </c>
      <c r="O340">
        <v>0.874</v>
      </c>
      <c r="P340" s="6">
        <f t="shared" si="6"/>
        <v>0.97713196729090912</v>
      </c>
    </row>
    <row r="341" spans="1:16">
      <c r="A341">
        <v>596</v>
      </c>
      <c r="B341">
        <v>98.305406165909076</v>
      </c>
      <c r="O341">
        <v>0.876</v>
      </c>
      <c r="P341" s="6">
        <f t="shared" si="6"/>
        <v>0.97706013643181822</v>
      </c>
    </row>
    <row r="342" spans="1:16">
      <c r="A342">
        <v>598</v>
      </c>
      <c r="B342">
        <v>98.305831392727271</v>
      </c>
      <c r="O342">
        <v>0.878</v>
      </c>
      <c r="P342" s="6">
        <f t="shared" si="6"/>
        <v>0.97705621432272738</v>
      </c>
    </row>
    <row r="343" spans="1:16">
      <c r="A343">
        <v>600</v>
      </c>
      <c r="B343">
        <v>98.305355601818178</v>
      </c>
      <c r="O343">
        <v>0.88</v>
      </c>
      <c r="P343" s="6">
        <f t="shared" si="6"/>
        <v>0.97701898323181824</v>
      </c>
    </row>
    <row r="344" spans="1:16">
      <c r="A344">
        <v>602</v>
      </c>
      <c r="B344">
        <v>98.304742319999974</v>
      </c>
      <c r="O344">
        <v>0.88200000000000001</v>
      </c>
      <c r="P344" s="6">
        <f t="shared" si="6"/>
        <v>0.97696139805909099</v>
      </c>
    </row>
    <row r="345" spans="1:16">
      <c r="A345">
        <v>604</v>
      </c>
      <c r="B345">
        <v>98.302368430909112</v>
      </c>
      <c r="O345">
        <v>0.88400000000000001</v>
      </c>
      <c r="P345" s="6">
        <f t="shared" si="6"/>
        <v>0.97691606947727261</v>
      </c>
    </row>
    <row r="346" spans="1:16">
      <c r="A346">
        <v>606</v>
      </c>
      <c r="B346">
        <v>98.299051281818166</v>
      </c>
      <c r="O346">
        <v>0.88600000000000001</v>
      </c>
      <c r="P346" s="6">
        <f t="shared" si="6"/>
        <v>0.97686535161363652</v>
      </c>
    </row>
    <row r="347" spans="1:16">
      <c r="A347">
        <v>608</v>
      </c>
      <c r="B347">
        <v>98.296606838181816</v>
      </c>
      <c r="O347">
        <v>0.88800000000000001</v>
      </c>
      <c r="P347" s="6">
        <f t="shared" si="6"/>
        <v>0.97680278872727289</v>
      </c>
    </row>
    <row r="348" spans="1:16">
      <c r="A348">
        <v>610</v>
      </c>
      <c r="B348">
        <v>98.296568123636362</v>
      </c>
      <c r="O348">
        <v>0.89</v>
      </c>
      <c r="P348" s="6">
        <f t="shared" si="6"/>
        <v>0.97675540954090934</v>
      </c>
    </row>
    <row r="349" spans="1:16">
      <c r="A349">
        <v>612</v>
      </c>
      <c r="B349">
        <v>98.294512815454553</v>
      </c>
      <c r="O349">
        <v>0.89200000000000002</v>
      </c>
      <c r="P349" s="6">
        <f t="shared" si="6"/>
        <v>0.97668541038636392</v>
      </c>
    </row>
    <row r="350" spans="1:16">
      <c r="A350">
        <v>614</v>
      </c>
      <c r="B350">
        <v>98.291787781818186</v>
      </c>
      <c r="O350">
        <v>0.89400000000000002</v>
      </c>
      <c r="P350" s="6">
        <f t="shared" si="6"/>
        <v>0.97660734178181829</v>
      </c>
    </row>
    <row r="351" spans="1:16">
      <c r="A351">
        <v>616</v>
      </c>
      <c r="B351">
        <v>98.289930930909108</v>
      </c>
      <c r="O351">
        <v>0.89600000000000002</v>
      </c>
      <c r="P351" s="6">
        <f t="shared" si="6"/>
        <v>0.97655216450909077</v>
      </c>
    </row>
    <row r="352" spans="1:16">
      <c r="A352">
        <v>618</v>
      </c>
      <c r="B352">
        <v>98.286909568181798</v>
      </c>
      <c r="O352">
        <v>0.89800000000000002</v>
      </c>
      <c r="P352" s="6">
        <f t="shared" si="6"/>
        <v>0.97650609420000012</v>
      </c>
    </row>
    <row r="353" spans="1:16">
      <c r="A353">
        <v>620</v>
      </c>
      <c r="B353">
        <v>98.283440274545455</v>
      </c>
      <c r="O353">
        <v>0.9</v>
      </c>
      <c r="P353" s="6">
        <f t="shared" si="6"/>
        <v>0.9764264932954545</v>
      </c>
    </row>
    <row r="354" spans="1:16">
      <c r="A354">
        <v>622</v>
      </c>
      <c r="B354">
        <v>98.280166543636369</v>
      </c>
      <c r="O354">
        <v>0.90200000000000002</v>
      </c>
      <c r="P354" s="6">
        <f t="shared" si="6"/>
        <v>0.97635852936818179</v>
      </c>
    </row>
    <row r="355" spans="1:16">
      <c r="A355">
        <v>624</v>
      </c>
      <c r="B355">
        <v>98.275279646363629</v>
      </c>
      <c r="O355">
        <v>0.90400000000000003</v>
      </c>
      <c r="P355" s="6">
        <f t="shared" si="6"/>
        <v>0.97630591376818188</v>
      </c>
    </row>
    <row r="356" spans="1:16">
      <c r="A356">
        <v>626</v>
      </c>
      <c r="B356">
        <v>98.273156859090903</v>
      </c>
      <c r="O356">
        <v>0.90600000000000003</v>
      </c>
      <c r="P356" s="6">
        <f t="shared" si="6"/>
        <v>0.97626716032727279</v>
      </c>
    </row>
    <row r="357" spans="1:16">
      <c r="A357">
        <v>628</v>
      </c>
      <c r="B357">
        <v>98.272493646363614</v>
      </c>
      <c r="O357">
        <v>0.90800000000000003</v>
      </c>
      <c r="P357" s="6">
        <f t="shared" si="6"/>
        <v>0.9762591876636364</v>
      </c>
    </row>
    <row r="358" spans="1:16">
      <c r="A358">
        <v>630</v>
      </c>
      <c r="B358">
        <v>98.267700007727271</v>
      </c>
      <c r="O358">
        <v>0.91</v>
      </c>
      <c r="P358" s="6">
        <f t="shared" si="6"/>
        <v>0.9762264802045455</v>
      </c>
    </row>
    <row r="359" spans="1:16">
      <c r="A359">
        <v>632</v>
      </c>
      <c r="B359">
        <v>98.26334706363636</v>
      </c>
      <c r="O359">
        <v>0.91200000000000003</v>
      </c>
      <c r="P359" s="6">
        <f t="shared" si="6"/>
        <v>0.97619193199545462</v>
      </c>
    </row>
    <row r="360" spans="1:16">
      <c r="A360">
        <v>634</v>
      </c>
      <c r="B360">
        <v>98.259436984999994</v>
      </c>
      <c r="O360">
        <v>0.91400000000000003</v>
      </c>
      <c r="P360" s="6">
        <f t="shared" si="6"/>
        <v>0.97617272125909083</v>
      </c>
    </row>
    <row r="361" spans="1:16">
      <c r="A361">
        <v>636</v>
      </c>
      <c r="B361">
        <v>98.256248914545452</v>
      </c>
      <c r="O361">
        <v>0.91600000000000004</v>
      </c>
      <c r="P361" s="6">
        <f t="shared" si="6"/>
        <v>0.97614246692727269</v>
      </c>
    </row>
    <row r="362" spans="1:16">
      <c r="A362">
        <v>638</v>
      </c>
      <c r="B362">
        <v>98.25272715727273</v>
      </c>
      <c r="O362">
        <v>0.91800000000000004</v>
      </c>
      <c r="P362" s="6">
        <f t="shared" si="6"/>
        <v>0.9761047229590909</v>
      </c>
    </row>
    <row r="363" spans="1:16">
      <c r="A363">
        <v>640</v>
      </c>
      <c r="B363">
        <v>98.249974444545458</v>
      </c>
      <c r="O363">
        <v>0.92</v>
      </c>
      <c r="P363" s="6">
        <f t="shared" si="6"/>
        <v>0.97606089411363639</v>
      </c>
    </row>
    <row r="364" spans="1:16">
      <c r="A364">
        <v>642</v>
      </c>
      <c r="B364">
        <v>98.244733417727275</v>
      </c>
      <c r="O364">
        <v>0.92200000000000004</v>
      </c>
      <c r="P364" s="6">
        <f t="shared" si="6"/>
        <v>0.97600844494999994</v>
      </c>
    </row>
    <row r="365" spans="1:16">
      <c r="A365">
        <v>644</v>
      </c>
      <c r="B365">
        <v>98.241465747272727</v>
      </c>
      <c r="O365">
        <v>0.92400000000000004</v>
      </c>
      <c r="P365" s="6">
        <f t="shared" si="6"/>
        <v>0.97598961231363635</v>
      </c>
    </row>
    <row r="366" spans="1:16">
      <c r="A366">
        <v>646</v>
      </c>
      <c r="B366">
        <v>98.240692813181823</v>
      </c>
      <c r="O366">
        <v>0.92600000000000005</v>
      </c>
      <c r="P366" s="6">
        <f t="shared" si="6"/>
        <v>0.97593822960909093</v>
      </c>
    </row>
    <row r="367" spans="1:16">
      <c r="A367">
        <v>648</v>
      </c>
      <c r="B367">
        <v>98.238004504090895</v>
      </c>
      <c r="O367">
        <v>0.92800000000000005</v>
      </c>
      <c r="P367" s="6">
        <f t="shared" si="6"/>
        <v>0.97587867795454553</v>
      </c>
    </row>
    <row r="368" spans="1:16">
      <c r="A368">
        <v>650</v>
      </c>
      <c r="B368">
        <v>98.23275397954545</v>
      </c>
      <c r="O368">
        <v>0.93</v>
      </c>
      <c r="P368" s="6">
        <f t="shared" si="6"/>
        <v>0.97582387335454546</v>
      </c>
    </row>
    <row r="369" spans="1:16">
      <c r="A369">
        <v>652</v>
      </c>
      <c r="B369">
        <v>98.229874630454532</v>
      </c>
      <c r="O369">
        <v>0.93200000000000005</v>
      </c>
      <c r="P369" s="6">
        <f t="shared" si="6"/>
        <v>0.9757861773272728</v>
      </c>
    </row>
    <row r="370" spans="1:16">
      <c r="A370">
        <v>654</v>
      </c>
      <c r="B370">
        <v>98.226112444999998</v>
      </c>
      <c r="O370">
        <v>0.93400000000000005</v>
      </c>
      <c r="P370" s="6">
        <f t="shared" si="6"/>
        <v>0.97575082588181805</v>
      </c>
    </row>
    <row r="371" spans="1:16">
      <c r="A371">
        <v>656</v>
      </c>
      <c r="B371">
        <v>98.222383004090915</v>
      </c>
      <c r="O371">
        <v>0.93600000000000005</v>
      </c>
      <c r="P371" s="6">
        <f t="shared" si="6"/>
        <v>0.97569857390909087</v>
      </c>
    </row>
    <row r="372" spans="1:16">
      <c r="A372">
        <v>658</v>
      </c>
      <c r="B372">
        <v>98.219078247272734</v>
      </c>
      <c r="O372">
        <v>0.93799999999999994</v>
      </c>
      <c r="P372" s="6">
        <f t="shared" si="6"/>
        <v>0.97564133517727269</v>
      </c>
    </row>
    <row r="373" spans="1:16">
      <c r="A373">
        <v>660</v>
      </c>
      <c r="B373">
        <v>98.214651582727285</v>
      </c>
      <c r="O373">
        <v>0.94</v>
      </c>
      <c r="P373" s="6">
        <f t="shared" si="6"/>
        <v>0.97559227172727281</v>
      </c>
    </row>
    <row r="374" spans="1:16">
      <c r="A374">
        <v>662</v>
      </c>
      <c r="B374">
        <v>98.209544428636363</v>
      </c>
      <c r="O374">
        <v>0.94199999999999995</v>
      </c>
      <c r="P374" s="6">
        <f t="shared" si="6"/>
        <v>0.97555289595909089</v>
      </c>
    </row>
    <row r="375" spans="1:16">
      <c r="A375">
        <v>664</v>
      </c>
      <c r="B375">
        <v>98.20874381545454</v>
      </c>
      <c r="O375">
        <v>0.94399999999999995</v>
      </c>
      <c r="P375" s="6">
        <f t="shared" si="6"/>
        <v>0.97551745134545476</v>
      </c>
    </row>
    <row r="376" spans="1:16">
      <c r="A376">
        <v>666</v>
      </c>
      <c r="B376">
        <v>98.205701829090913</v>
      </c>
      <c r="O376">
        <v>0.94599999999999995</v>
      </c>
      <c r="P376" s="6">
        <f t="shared" si="6"/>
        <v>0.97546830105909099</v>
      </c>
    </row>
    <row r="377" spans="1:16">
      <c r="A377">
        <v>668</v>
      </c>
      <c r="B377">
        <v>98.201527080454554</v>
      </c>
      <c r="O377">
        <v>0.94799999999999995</v>
      </c>
      <c r="P377" s="6">
        <f t="shared" si="6"/>
        <v>0.97543984948636353</v>
      </c>
    </row>
    <row r="378" spans="1:16">
      <c r="A378">
        <v>670</v>
      </c>
      <c r="B378">
        <v>98.198456962727263</v>
      </c>
      <c r="O378">
        <v>0.95</v>
      </c>
      <c r="P378" s="6">
        <f t="shared" si="6"/>
        <v>0.97540057502727284</v>
      </c>
    </row>
    <row r="379" spans="1:16">
      <c r="A379">
        <v>672</v>
      </c>
      <c r="B379">
        <v>98.195445459545454</v>
      </c>
      <c r="O379">
        <v>0.95199999999999996</v>
      </c>
      <c r="P379" s="6">
        <f t="shared" si="6"/>
        <v>0.97535511890454529</v>
      </c>
    </row>
    <row r="380" spans="1:16">
      <c r="A380">
        <v>674</v>
      </c>
      <c r="B380">
        <v>98.193579472727265</v>
      </c>
      <c r="O380">
        <v>0.95399999999999996</v>
      </c>
      <c r="P380" s="6">
        <f t="shared" si="6"/>
        <v>0.97531757484090931</v>
      </c>
    </row>
    <row r="381" spans="1:16">
      <c r="A381">
        <v>676</v>
      </c>
      <c r="B381">
        <v>98.192448519545451</v>
      </c>
      <c r="O381">
        <v>0.95599999999999996</v>
      </c>
      <c r="P381" s="6">
        <f t="shared" si="6"/>
        <v>0.97530004203636378</v>
      </c>
    </row>
    <row r="382" spans="1:16">
      <c r="A382">
        <v>678</v>
      </c>
      <c r="B382">
        <v>98.192318355454546</v>
      </c>
      <c r="O382">
        <v>0.95799999999999996</v>
      </c>
      <c r="P382" s="6">
        <f t="shared" si="6"/>
        <v>0.9752859311272728</v>
      </c>
    </row>
    <row r="383" spans="1:16">
      <c r="A383">
        <v>680</v>
      </c>
      <c r="B383">
        <v>98.192486962727287</v>
      </c>
      <c r="O383">
        <v>0.96</v>
      </c>
      <c r="P383" s="6">
        <f t="shared" si="6"/>
        <v>0.97528227947727275</v>
      </c>
    </row>
    <row r="384" spans="1:16">
      <c r="A384">
        <v>682</v>
      </c>
      <c r="B384">
        <v>98.188795241363636</v>
      </c>
      <c r="O384">
        <v>0.96199999999999997</v>
      </c>
      <c r="P384" s="6">
        <f t="shared" si="6"/>
        <v>0.97526449882727262</v>
      </c>
    </row>
    <row r="385" spans="1:16">
      <c r="A385">
        <v>684</v>
      </c>
      <c r="B385">
        <v>98.187425759545434</v>
      </c>
      <c r="O385">
        <v>0.96399999999999997</v>
      </c>
      <c r="P385" s="6">
        <f t="shared" si="6"/>
        <v>0.97523606172727251</v>
      </c>
    </row>
    <row r="386" spans="1:16">
      <c r="A386">
        <v>686</v>
      </c>
      <c r="B386">
        <v>98.183848553636352</v>
      </c>
      <c r="O386">
        <v>0.96599999999999997</v>
      </c>
      <c r="P386" s="6">
        <f t="shared" si="6"/>
        <v>0.97521104290454563</v>
      </c>
    </row>
    <row r="387" spans="1:16">
      <c r="A387">
        <v>688</v>
      </c>
      <c r="B387">
        <v>98.180213728181812</v>
      </c>
      <c r="O387">
        <v>0.96799999999999997</v>
      </c>
      <c r="P387" s="6">
        <f t="shared" si="6"/>
        <v>0.97519286968181806</v>
      </c>
    </row>
    <row r="388" spans="1:16">
      <c r="A388">
        <v>690</v>
      </c>
      <c r="B388">
        <v>98.176717026818181</v>
      </c>
      <c r="O388">
        <v>0.97</v>
      </c>
      <c r="P388" s="6">
        <f t="shared" ref="P388:P451" si="7">B528/100</f>
        <v>0.97516495812272741</v>
      </c>
    </row>
    <row r="389" spans="1:16">
      <c r="A389">
        <v>692</v>
      </c>
      <c r="B389">
        <v>98.173845275909102</v>
      </c>
      <c r="O389">
        <v>0.97199999999999998</v>
      </c>
      <c r="P389" s="6">
        <f t="shared" si="7"/>
        <v>0.97515553456818171</v>
      </c>
    </row>
    <row r="390" spans="1:16">
      <c r="A390">
        <v>694</v>
      </c>
      <c r="B390">
        <v>98.171835104545451</v>
      </c>
      <c r="O390">
        <v>0.97399999999999998</v>
      </c>
      <c r="P390" s="6">
        <f t="shared" si="7"/>
        <v>0.97513859152727278</v>
      </c>
    </row>
    <row r="391" spans="1:16">
      <c r="A391">
        <v>696</v>
      </c>
      <c r="B391">
        <v>98.167727925454557</v>
      </c>
      <c r="O391">
        <v>0.97599999999999998</v>
      </c>
      <c r="P391" s="6">
        <f t="shared" si="7"/>
        <v>0.97510403969999981</v>
      </c>
    </row>
    <row r="392" spans="1:16">
      <c r="A392">
        <v>698</v>
      </c>
      <c r="B392">
        <v>98.162339095909076</v>
      </c>
      <c r="O392">
        <v>0.97799999999999998</v>
      </c>
      <c r="P392" s="6">
        <f t="shared" si="7"/>
        <v>0.97507503544999996</v>
      </c>
    </row>
    <row r="393" spans="1:16">
      <c r="A393">
        <v>700</v>
      </c>
      <c r="B393">
        <v>98.156605634545457</v>
      </c>
      <c r="O393">
        <v>0.98</v>
      </c>
      <c r="P393" s="6">
        <f t="shared" si="7"/>
        <v>0.97505452216818189</v>
      </c>
    </row>
    <row r="394" spans="1:16">
      <c r="A394">
        <v>702</v>
      </c>
      <c r="B394">
        <v>98.150005256818176</v>
      </c>
      <c r="O394">
        <v>0.98199999999999998</v>
      </c>
      <c r="P394" s="6">
        <f t="shared" si="7"/>
        <v>0.97502426421818167</v>
      </c>
    </row>
    <row r="395" spans="1:16">
      <c r="A395">
        <v>704</v>
      </c>
      <c r="B395">
        <v>98.146004633181818</v>
      </c>
      <c r="O395">
        <v>0.98399999999999999</v>
      </c>
      <c r="P395" s="6">
        <f t="shared" si="7"/>
        <v>0.97499124469090914</v>
      </c>
    </row>
    <row r="396" spans="1:16">
      <c r="A396">
        <v>706</v>
      </c>
      <c r="B396">
        <v>98.138457467727264</v>
      </c>
      <c r="O396">
        <v>0.98599999999999999</v>
      </c>
      <c r="P396" s="6">
        <f t="shared" si="7"/>
        <v>0.97495828667272721</v>
      </c>
    </row>
    <row r="397" spans="1:16">
      <c r="A397">
        <v>708</v>
      </c>
      <c r="B397">
        <v>98.132579369545454</v>
      </c>
      <c r="O397">
        <v>0.98799999999999999</v>
      </c>
      <c r="P397" s="6">
        <f t="shared" si="7"/>
        <v>0.97494755062272742</v>
      </c>
    </row>
    <row r="398" spans="1:16">
      <c r="A398">
        <v>710</v>
      </c>
      <c r="B398">
        <v>98.128892804090896</v>
      </c>
      <c r="O398">
        <v>0.99</v>
      </c>
      <c r="P398" s="6">
        <f t="shared" si="7"/>
        <v>0.97491934599090924</v>
      </c>
    </row>
    <row r="399" spans="1:16">
      <c r="A399">
        <v>712</v>
      </c>
      <c r="B399">
        <v>98.124876441363625</v>
      </c>
      <c r="O399">
        <v>0.99199999999999999</v>
      </c>
      <c r="P399" s="6">
        <f t="shared" si="7"/>
        <v>0.97490530654090901</v>
      </c>
    </row>
    <row r="400" spans="1:16">
      <c r="A400">
        <v>714</v>
      </c>
      <c r="B400">
        <v>98.119002413636366</v>
      </c>
      <c r="O400">
        <v>0.99399999999999999</v>
      </c>
      <c r="P400" s="6">
        <f t="shared" si="7"/>
        <v>0.97489233174090917</v>
      </c>
    </row>
    <row r="401" spans="1:16">
      <c r="A401">
        <v>716</v>
      </c>
      <c r="B401">
        <v>98.113768984999993</v>
      </c>
      <c r="O401">
        <v>0.996</v>
      </c>
      <c r="P401" s="6">
        <f t="shared" si="7"/>
        <v>0.97487952247272747</v>
      </c>
    </row>
    <row r="402" spans="1:16">
      <c r="A402">
        <v>718</v>
      </c>
      <c r="B402">
        <v>98.108283007272718</v>
      </c>
      <c r="O402">
        <v>0.998</v>
      </c>
      <c r="P402" s="6">
        <f t="shared" si="7"/>
        <v>0.97486597871363645</v>
      </c>
    </row>
    <row r="403" spans="1:16">
      <c r="A403">
        <v>720</v>
      </c>
      <c r="B403">
        <v>98.103441789545442</v>
      </c>
      <c r="O403">
        <v>1</v>
      </c>
      <c r="P403" s="6">
        <f t="shared" si="7"/>
        <v>0.97483175433181801</v>
      </c>
    </row>
    <row r="404" spans="1:16">
      <c r="A404">
        <v>722</v>
      </c>
      <c r="B404">
        <v>98.098158972727276</v>
      </c>
      <c r="O404">
        <v>1.002</v>
      </c>
      <c r="P404" s="6">
        <f t="shared" si="7"/>
        <v>0.97480435474545435</v>
      </c>
    </row>
    <row r="405" spans="1:16">
      <c r="A405">
        <v>724</v>
      </c>
      <c r="B405">
        <v>98.094407551363631</v>
      </c>
      <c r="O405">
        <v>1.004</v>
      </c>
      <c r="P405" s="6">
        <f t="shared" si="7"/>
        <v>0.97479892385454547</v>
      </c>
    </row>
    <row r="406" spans="1:16">
      <c r="A406">
        <v>726</v>
      </c>
      <c r="B406">
        <v>98.091291844545466</v>
      </c>
      <c r="O406">
        <v>1.006</v>
      </c>
      <c r="P406" s="6">
        <f t="shared" si="7"/>
        <v>0.97480212232727281</v>
      </c>
    </row>
    <row r="407" spans="1:16">
      <c r="A407">
        <v>728</v>
      </c>
      <c r="B407">
        <v>98.090093502727271</v>
      </c>
      <c r="O407">
        <v>1.008</v>
      </c>
      <c r="P407" s="6">
        <f t="shared" si="7"/>
        <v>0.97480157236363629</v>
      </c>
    </row>
    <row r="408" spans="1:16">
      <c r="A408">
        <v>730</v>
      </c>
      <c r="B408">
        <v>98.086106718636358</v>
      </c>
      <c r="O408">
        <v>1.01</v>
      </c>
      <c r="P408" s="6">
        <f t="shared" si="7"/>
        <v>0.9747844954499999</v>
      </c>
    </row>
    <row r="409" spans="1:16">
      <c r="A409">
        <v>732</v>
      </c>
      <c r="B409">
        <v>98.080900878636371</v>
      </c>
      <c r="O409">
        <v>1.012</v>
      </c>
      <c r="P409" s="6">
        <f t="shared" si="7"/>
        <v>0.97479603744999987</v>
      </c>
    </row>
    <row r="410" spans="1:16">
      <c r="A410">
        <v>734</v>
      </c>
      <c r="B410">
        <v>98.075891867727279</v>
      </c>
      <c r="O410">
        <v>1.014</v>
      </c>
      <c r="P410" s="6">
        <f t="shared" si="7"/>
        <v>0.97479324421363645</v>
      </c>
    </row>
    <row r="411" spans="1:16">
      <c r="A411">
        <v>736</v>
      </c>
      <c r="B411">
        <v>98.072798322272732</v>
      </c>
      <c r="O411">
        <v>1.016</v>
      </c>
      <c r="P411" s="6">
        <f t="shared" si="7"/>
        <v>0.97479458113181805</v>
      </c>
    </row>
    <row r="412" spans="1:16">
      <c r="A412">
        <v>738</v>
      </c>
      <c r="B412">
        <v>98.068541440909087</v>
      </c>
      <c r="O412">
        <v>1.018</v>
      </c>
      <c r="P412" s="6">
        <f t="shared" si="7"/>
        <v>0.97477444142727276</v>
      </c>
    </row>
    <row r="413" spans="1:16">
      <c r="A413">
        <v>740</v>
      </c>
      <c r="B413">
        <v>98.064579531818183</v>
      </c>
      <c r="O413">
        <v>1.02</v>
      </c>
      <c r="P413" s="6">
        <f t="shared" si="7"/>
        <v>0.9747812526545454</v>
      </c>
    </row>
    <row r="414" spans="1:16">
      <c r="A414">
        <v>742</v>
      </c>
      <c r="B414">
        <v>98.060236899545444</v>
      </c>
      <c r="O414">
        <v>1.022</v>
      </c>
      <c r="P414" s="6">
        <f t="shared" si="7"/>
        <v>0.97479519170000017</v>
      </c>
    </row>
    <row r="415" spans="1:16">
      <c r="A415">
        <v>744</v>
      </c>
      <c r="B415">
        <v>98.05556374636366</v>
      </c>
      <c r="O415">
        <v>1.024</v>
      </c>
      <c r="P415" s="6">
        <f t="shared" si="7"/>
        <v>0.97479521612272735</v>
      </c>
    </row>
    <row r="416" spans="1:16">
      <c r="A416">
        <v>746</v>
      </c>
      <c r="B416">
        <v>98.049960630000015</v>
      </c>
      <c r="O416">
        <v>1.026</v>
      </c>
      <c r="P416" s="6">
        <f t="shared" si="7"/>
        <v>0.97478144351363638</v>
      </c>
    </row>
    <row r="417" spans="1:16">
      <c r="A417">
        <v>748</v>
      </c>
      <c r="B417">
        <v>98.045437088636376</v>
      </c>
      <c r="O417">
        <v>1.028</v>
      </c>
      <c r="P417" s="6">
        <f t="shared" si="7"/>
        <v>0.97478065655909096</v>
      </c>
    </row>
    <row r="418" spans="1:16">
      <c r="A418">
        <v>750</v>
      </c>
      <c r="B418">
        <v>98.041131271363639</v>
      </c>
      <c r="O418">
        <v>1.03</v>
      </c>
      <c r="P418" s="6">
        <f t="shared" si="7"/>
        <v>0.97477764080454532</v>
      </c>
    </row>
    <row r="419" spans="1:16">
      <c r="A419">
        <v>752</v>
      </c>
      <c r="B419">
        <v>98.038830650454528</v>
      </c>
      <c r="O419">
        <v>1.032</v>
      </c>
      <c r="P419" s="6">
        <f t="shared" si="7"/>
        <v>0.97475727134545453</v>
      </c>
    </row>
    <row r="420" spans="1:16">
      <c r="A420">
        <v>754</v>
      </c>
      <c r="B420">
        <v>98.03543236363636</v>
      </c>
      <c r="O420">
        <v>1.034</v>
      </c>
      <c r="P420" s="6">
        <f t="shared" si="7"/>
        <v>0.97473133621818175</v>
      </c>
    </row>
    <row r="421" spans="1:16">
      <c r="A421">
        <v>756</v>
      </c>
      <c r="B421">
        <v>98.030972050000003</v>
      </c>
      <c r="O421">
        <v>1.036</v>
      </c>
      <c r="P421" s="6">
        <f t="shared" si="7"/>
        <v>0.97473047599545448</v>
      </c>
    </row>
    <row r="422" spans="1:16">
      <c r="A422">
        <v>758</v>
      </c>
      <c r="B422">
        <v>98.026124500454543</v>
      </c>
      <c r="O422">
        <v>1.038</v>
      </c>
      <c r="P422" s="6">
        <f t="shared" si="7"/>
        <v>0.97471484454545443</v>
      </c>
    </row>
    <row r="423" spans="1:16">
      <c r="A423">
        <v>760</v>
      </c>
      <c r="B423">
        <v>98.021674679545455</v>
      </c>
      <c r="O423">
        <v>1.04</v>
      </c>
      <c r="P423" s="6">
        <f t="shared" si="7"/>
        <v>0.97470478961818174</v>
      </c>
    </row>
    <row r="424" spans="1:16">
      <c r="A424">
        <v>762</v>
      </c>
      <c r="B424">
        <v>98.016119956363639</v>
      </c>
      <c r="O424">
        <v>1.042</v>
      </c>
      <c r="P424" s="6">
        <f t="shared" si="7"/>
        <v>0.97469708922272713</v>
      </c>
    </row>
    <row r="425" spans="1:16">
      <c r="A425">
        <v>764</v>
      </c>
      <c r="B425">
        <v>98.012028335454545</v>
      </c>
      <c r="O425">
        <v>1.044</v>
      </c>
      <c r="P425" s="6">
        <f t="shared" si="7"/>
        <v>0.9746837064727274</v>
      </c>
    </row>
    <row r="426" spans="1:16">
      <c r="A426">
        <v>766</v>
      </c>
      <c r="B426">
        <v>98.010231455909093</v>
      </c>
      <c r="O426">
        <v>1.046</v>
      </c>
      <c r="P426" s="6">
        <f t="shared" si="7"/>
        <v>0.97468800487272733</v>
      </c>
    </row>
    <row r="427" spans="1:16">
      <c r="A427">
        <v>768</v>
      </c>
      <c r="B427">
        <v>98.007695200909097</v>
      </c>
      <c r="O427">
        <v>1.048</v>
      </c>
      <c r="P427" s="6">
        <f t="shared" si="7"/>
        <v>0.97470089826363648</v>
      </c>
    </row>
    <row r="428" spans="1:16">
      <c r="A428">
        <v>770</v>
      </c>
      <c r="B428">
        <v>98.003711130454562</v>
      </c>
      <c r="O428">
        <v>1.05</v>
      </c>
      <c r="P428" s="6">
        <f t="shared" si="7"/>
        <v>0.97468894469545475</v>
      </c>
    </row>
    <row r="429" spans="1:16">
      <c r="A429">
        <v>772</v>
      </c>
      <c r="B429">
        <v>97.999199709999999</v>
      </c>
      <c r="O429">
        <v>1.052</v>
      </c>
      <c r="P429" s="6">
        <f t="shared" si="7"/>
        <v>0.97469419196363627</v>
      </c>
    </row>
    <row r="430" spans="1:16">
      <c r="A430">
        <v>774</v>
      </c>
      <c r="B430">
        <v>97.993119807727268</v>
      </c>
      <c r="O430">
        <v>1.054</v>
      </c>
      <c r="P430" s="6">
        <f t="shared" si="7"/>
        <v>0.97470212301818182</v>
      </c>
    </row>
    <row r="431" spans="1:16">
      <c r="A431">
        <v>776</v>
      </c>
      <c r="B431">
        <v>97.986740500909065</v>
      </c>
      <c r="O431">
        <v>1.056</v>
      </c>
      <c r="P431" s="6">
        <f t="shared" si="7"/>
        <v>0.97469560667272725</v>
      </c>
    </row>
    <row r="432" spans="1:16">
      <c r="A432">
        <v>778</v>
      </c>
      <c r="B432">
        <v>97.981496489090901</v>
      </c>
      <c r="O432">
        <v>1.0580000000000001</v>
      </c>
      <c r="P432" s="6">
        <f t="shared" si="7"/>
        <v>0.97467857498636346</v>
      </c>
    </row>
    <row r="433" spans="1:16">
      <c r="A433">
        <v>780</v>
      </c>
      <c r="B433">
        <v>97.976800722272728</v>
      </c>
      <c r="O433">
        <v>1.06</v>
      </c>
      <c r="P433" s="6">
        <f t="shared" si="7"/>
        <v>0.9746724304090908</v>
      </c>
    </row>
    <row r="434" spans="1:16">
      <c r="A434">
        <v>782</v>
      </c>
      <c r="B434">
        <v>97.972858984545439</v>
      </c>
      <c r="O434">
        <v>1.0620000000000001</v>
      </c>
      <c r="P434" s="6">
        <f t="shared" si="7"/>
        <v>0.97467746963181823</v>
      </c>
    </row>
    <row r="435" spans="1:16">
      <c r="A435">
        <v>784</v>
      </c>
      <c r="B435">
        <v>97.970167600000011</v>
      </c>
      <c r="O435">
        <v>1.0640000000000001</v>
      </c>
      <c r="P435" s="6">
        <f t="shared" si="7"/>
        <v>0.97466478971363646</v>
      </c>
    </row>
    <row r="436" spans="1:16">
      <c r="A436">
        <v>786</v>
      </c>
      <c r="B436">
        <v>97.965856084090902</v>
      </c>
      <c r="O436">
        <v>1.0660000000000001</v>
      </c>
      <c r="P436" s="6">
        <f t="shared" si="7"/>
        <v>0.97467147611363625</v>
      </c>
    </row>
    <row r="437" spans="1:16">
      <c r="A437">
        <v>788</v>
      </c>
      <c r="B437">
        <v>97.960485526363641</v>
      </c>
      <c r="O437">
        <v>1.0680000000000001</v>
      </c>
      <c r="P437" s="6">
        <f t="shared" si="7"/>
        <v>0.974668281259091</v>
      </c>
    </row>
    <row r="438" spans="1:16">
      <c r="A438">
        <v>790</v>
      </c>
      <c r="B438">
        <v>97.955837881363649</v>
      </c>
      <c r="O438">
        <v>1.07</v>
      </c>
      <c r="P438" s="6">
        <f t="shared" si="7"/>
        <v>0.97465657553636365</v>
      </c>
    </row>
    <row r="439" spans="1:16">
      <c r="A439">
        <v>792</v>
      </c>
      <c r="B439">
        <v>97.952423403181825</v>
      </c>
      <c r="O439">
        <v>1.0720000000000001</v>
      </c>
      <c r="P439" s="6">
        <f t="shared" si="7"/>
        <v>0.97465626346818179</v>
      </c>
    </row>
    <row r="440" spans="1:16">
      <c r="A440">
        <v>794</v>
      </c>
      <c r="B440">
        <v>97.949301274090928</v>
      </c>
      <c r="O440">
        <v>1.0740000000000001</v>
      </c>
      <c r="P440" s="6">
        <f t="shared" si="7"/>
        <v>0.97465053226818188</v>
      </c>
    </row>
    <row r="441" spans="1:16">
      <c r="A441">
        <v>796</v>
      </c>
      <c r="B441">
        <v>97.945394270909105</v>
      </c>
      <c r="O441">
        <v>1.0760000000000001</v>
      </c>
      <c r="P441" s="6">
        <f t="shared" si="7"/>
        <v>0.97467505359090922</v>
      </c>
    </row>
    <row r="442" spans="1:16">
      <c r="A442">
        <v>798</v>
      </c>
      <c r="B442">
        <v>97.942627628181825</v>
      </c>
      <c r="O442">
        <v>1.0780000000000001</v>
      </c>
      <c r="P442" s="6">
        <f t="shared" si="7"/>
        <v>0.97469466865909093</v>
      </c>
    </row>
    <row r="443" spans="1:16">
      <c r="A443">
        <v>800</v>
      </c>
      <c r="B443">
        <v>97.937506272727276</v>
      </c>
      <c r="O443">
        <v>1.08</v>
      </c>
      <c r="P443" s="6">
        <f t="shared" si="7"/>
        <v>0.97472309219090902</v>
      </c>
    </row>
    <row r="444" spans="1:16">
      <c r="A444">
        <v>802</v>
      </c>
      <c r="B444">
        <v>97.931774168181846</v>
      </c>
      <c r="O444">
        <v>1.0820000000000001</v>
      </c>
      <c r="P444" s="6">
        <f t="shared" si="7"/>
        <v>0.97473981633181817</v>
      </c>
    </row>
    <row r="445" spans="1:16">
      <c r="A445">
        <v>804</v>
      </c>
      <c r="B445">
        <v>97.925634565909093</v>
      </c>
      <c r="O445">
        <v>1.0840000000000001</v>
      </c>
      <c r="P445" s="6">
        <f t="shared" si="7"/>
        <v>0.97477171422272746</v>
      </c>
    </row>
    <row r="446" spans="1:16">
      <c r="A446">
        <v>806</v>
      </c>
      <c r="B446">
        <v>97.920463822272723</v>
      </c>
      <c r="O446">
        <v>1.0860000000000001</v>
      </c>
      <c r="P446" s="6">
        <f t="shared" si="7"/>
        <v>0.97479841640454568</v>
      </c>
    </row>
    <row r="447" spans="1:16">
      <c r="A447">
        <v>808</v>
      </c>
      <c r="B447">
        <v>97.914959844090902</v>
      </c>
      <c r="O447">
        <v>1.0880000000000001</v>
      </c>
      <c r="P447" s="6">
        <f t="shared" si="7"/>
        <v>0.97480697340454558</v>
      </c>
    </row>
    <row r="448" spans="1:16">
      <c r="A448">
        <v>810</v>
      </c>
      <c r="B448">
        <v>97.908116143636363</v>
      </c>
      <c r="O448">
        <v>1.0900000000000001</v>
      </c>
      <c r="P448" s="6">
        <f t="shared" si="7"/>
        <v>0.97480650575454542</v>
      </c>
    </row>
    <row r="449" spans="1:16">
      <c r="A449">
        <v>812</v>
      </c>
      <c r="B449">
        <v>97.9024805540909</v>
      </c>
      <c r="O449">
        <v>1.0920000000000001</v>
      </c>
      <c r="P449" s="6">
        <f t="shared" si="7"/>
        <v>0.97480869294545458</v>
      </c>
    </row>
    <row r="450" spans="1:16">
      <c r="A450">
        <v>814</v>
      </c>
      <c r="B450">
        <v>97.894946595000008</v>
      </c>
      <c r="O450">
        <v>1.0940000000000001</v>
      </c>
      <c r="P450" s="6">
        <f t="shared" si="7"/>
        <v>0.97482313582272728</v>
      </c>
    </row>
    <row r="451" spans="1:16">
      <c r="A451">
        <v>816</v>
      </c>
      <c r="B451">
        <v>97.88742041499998</v>
      </c>
      <c r="O451">
        <v>1.0960000000000001</v>
      </c>
      <c r="P451" s="6">
        <f t="shared" si="7"/>
        <v>0.97484512894090913</v>
      </c>
    </row>
    <row r="452" spans="1:16">
      <c r="A452">
        <v>818</v>
      </c>
      <c r="B452">
        <v>97.881142779090894</v>
      </c>
      <c r="O452">
        <v>1.0980000000000001</v>
      </c>
      <c r="P452" s="6">
        <f t="shared" ref="P452:P515" si="8">B592/100</f>
        <v>0.97484182101818195</v>
      </c>
    </row>
    <row r="453" spans="1:16">
      <c r="A453">
        <v>820</v>
      </c>
      <c r="B453">
        <v>97.87375617045457</v>
      </c>
      <c r="O453">
        <v>1.1000000000000001</v>
      </c>
      <c r="P453" s="6">
        <f t="shared" si="8"/>
        <v>0.97485496315909104</v>
      </c>
    </row>
    <row r="454" spans="1:16">
      <c r="A454">
        <v>822</v>
      </c>
      <c r="B454">
        <v>97.869023317272735</v>
      </c>
      <c r="O454">
        <v>1.1020000000000001</v>
      </c>
      <c r="P454" s="6">
        <f t="shared" si="8"/>
        <v>0.97484632474999999</v>
      </c>
    </row>
    <row r="455" spans="1:16">
      <c r="A455">
        <v>824</v>
      </c>
      <c r="B455">
        <v>97.863714268636372</v>
      </c>
      <c r="O455">
        <v>1.1040000000000001</v>
      </c>
      <c r="P455" s="6">
        <f t="shared" si="8"/>
        <v>0.97484934955000002</v>
      </c>
    </row>
    <row r="456" spans="1:16">
      <c r="A456">
        <v>826</v>
      </c>
      <c r="B456">
        <v>97.856830858636371</v>
      </c>
      <c r="O456">
        <v>1.1060000000000001</v>
      </c>
      <c r="P456" s="6">
        <f t="shared" si="8"/>
        <v>0.97483205916363647</v>
      </c>
    </row>
    <row r="457" spans="1:16">
      <c r="A457">
        <v>828</v>
      </c>
      <c r="B457">
        <v>97.847940262272729</v>
      </c>
      <c r="O457">
        <v>1.1080000000000001</v>
      </c>
      <c r="P457" s="6">
        <f t="shared" si="8"/>
        <v>0.97483791066818171</v>
      </c>
    </row>
    <row r="458" spans="1:16">
      <c r="A458">
        <v>830</v>
      </c>
      <c r="B458">
        <v>97.838565010454559</v>
      </c>
      <c r="O458">
        <v>1.1100000000000001</v>
      </c>
      <c r="P458" s="6">
        <f t="shared" si="8"/>
        <v>0.97484741653636364</v>
      </c>
    </row>
    <row r="459" spans="1:16">
      <c r="A459">
        <v>832</v>
      </c>
      <c r="B459">
        <v>97.828805779090914</v>
      </c>
      <c r="O459">
        <v>1.1120000000000001</v>
      </c>
      <c r="P459" s="6">
        <f t="shared" si="8"/>
        <v>0.97486867245000008</v>
      </c>
    </row>
    <row r="460" spans="1:16">
      <c r="A460">
        <v>834</v>
      </c>
      <c r="B460">
        <v>97.818302016363617</v>
      </c>
      <c r="O460">
        <v>1.1140000000000001</v>
      </c>
      <c r="P460" s="6">
        <f t="shared" si="8"/>
        <v>0.9748821447499999</v>
      </c>
    </row>
    <row r="461" spans="1:16">
      <c r="A461">
        <v>836</v>
      </c>
      <c r="B461">
        <v>97.81274846909092</v>
      </c>
      <c r="O461">
        <v>1.1160000000000001</v>
      </c>
      <c r="P461" s="6">
        <f t="shared" si="8"/>
        <v>0.97491240450909122</v>
      </c>
    </row>
    <row r="462" spans="1:16">
      <c r="A462">
        <v>838</v>
      </c>
      <c r="B462">
        <v>97.804645098636357</v>
      </c>
      <c r="O462">
        <v>1.1180000000000001</v>
      </c>
      <c r="P462" s="6">
        <f t="shared" si="8"/>
        <v>0.97493587655909097</v>
      </c>
    </row>
    <row r="463" spans="1:16">
      <c r="A463">
        <v>840</v>
      </c>
      <c r="B463">
        <v>97.795810674545436</v>
      </c>
      <c r="O463">
        <v>1.1200000000000001</v>
      </c>
      <c r="P463" s="6">
        <f t="shared" si="8"/>
        <v>0.97496196184090911</v>
      </c>
    </row>
    <row r="464" spans="1:16">
      <c r="A464">
        <v>842</v>
      </c>
      <c r="B464">
        <v>97.786816507727281</v>
      </c>
      <c r="O464">
        <v>1.1220000000000001</v>
      </c>
      <c r="P464" s="6">
        <f t="shared" si="8"/>
        <v>0.97497897634090891</v>
      </c>
    </row>
    <row r="465" spans="1:16">
      <c r="A465">
        <v>844</v>
      </c>
      <c r="B465">
        <v>97.778562711363648</v>
      </c>
      <c r="O465">
        <v>1.1240000000000001</v>
      </c>
      <c r="P465" s="6">
        <f t="shared" si="8"/>
        <v>0.97501466156363614</v>
      </c>
    </row>
    <row r="466" spans="1:16">
      <c r="A466">
        <v>846</v>
      </c>
      <c r="B466">
        <v>97.776823994090904</v>
      </c>
      <c r="O466">
        <v>1.1259999999999999</v>
      </c>
      <c r="P466" s="6">
        <f t="shared" si="8"/>
        <v>0.97503175837727274</v>
      </c>
    </row>
    <row r="467" spans="1:16">
      <c r="A467">
        <v>848</v>
      </c>
      <c r="B467">
        <v>97.771641943636368</v>
      </c>
      <c r="O467">
        <v>1.1279999999999999</v>
      </c>
      <c r="P467" s="6">
        <f t="shared" si="8"/>
        <v>0.97506544726818178</v>
      </c>
    </row>
    <row r="468" spans="1:16">
      <c r="A468">
        <v>850</v>
      </c>
      <c r="B468">
        <v>97.766086677727273</v>
      </c>
      <c r="O468">
        <v>1.1299999999999999</v>
      </c>
      <c r="P468" s="6">
        <f t="shared" si="8"/>
        <v>0.97509113093181821</v>
      </c>
    </row>
    <row r="469" spans="1:16">
      <c r="A469">
        <v>852</v>
      </c>
      <c r="B469">
        <v>97.765586192727284</v>
      </c>
      <c r="O469">
        <v>1.1319999999999999</v>
      </c>
      <c r="P469" s="6">
        <f t="shared" si="8"/>
        <v>0.97511422578636386</v>
      </c>
    </row>
    <row r="470" spans="1:16">
      <c r="A470">
        <v>854</v>
      </c>
      <c r="B470">
        <v>97.76567628545456</v>
      </c>
      <c r="O470">
        <v>1.1339999999999999</v>
      </c>
      <c r="P470" s="6">
        <f t="shared" si="8"/>
        <v>0.97513121495909105</v>
      </c>
    </row>
    <row r="471" spans="1:16">
      <c r="A471">
        <v>856</v>
      </c>
      <c r="B471">
        <v>97.761855304545449</v>
      </c>
      <c r="O471">
        <v>1.1359999999999999</v>
      </c>
      <c r="P471" s="6">
        <f t="shared" si="8"/>
        <v>0.97517387151363621</v>
      </c>
    </row>
    <row r="472" spans="1:16">
      <c r="A472">
        <v>858</v>
      </c>
      <c r="B472">
        <v>97.755142763181809</v>
      </c>
      <c r="O472">
        <v>1.1379999999999999</v>
      </c>
      <c r="P472" s="6">
        <f t="shared" si="8"/>
        <v>0.97518614619545463</v>
      </c>
    </row>
    <row r="473" spans="1:16">
      <c r="A473">
        <v>860</v>
      </c>
      <c r="B473">
        <v>97.752646670000004</v>
      </c>
      <c r="O473">
        <v>1.1399999999999999</v>
      </c>
      <c r="P473" s="6">
        <f t="shared" si="8"/>
        <v>0.97518460123181816</v>
      </c>
    </row>
    <row r="474" spans="1:16">
      <c r="A474">
        <v>862</v>
      </c>
      <c r="B474">
        <v>97.74902830727271</v>
      </c>
      <c r="O474">
        <v>1.1419999999999999</v>
      </c>
      <c r="P474" s="6">
        <f t="shared" si="8"/>
        <v>0.97519693018636378</v>
      </c>
    </row>
    <row r="475" spans="1:16">
      <c r="A475">
        <v>864</v>
      </c>
      <c r="B475">
        <v>97.745359289999996</v>
      </c>
      <c r="O475">
        <v>1.1439999999999999</v>
      </c>
      <c r="P475" s="6">
        <f t="shared" si="8"/>
        <v>0.97521206684999995</v>
      </c>
    </row>
    <row r="476" spans="1:16">
      <c r="A476">
        <v>866</v>
      </c>
      <c r="B476">
        <v>97.741843593181812</v>
      </c>
      <c r="O476">
        <v>1.1459999999999999</v>
      </c>
      <c r="P476" s="6">
        <f t="shared" si="8"/>
        <v>0.97522162065909102</v>
      </c>
    </row>
    <row r="477" spans="1:16">
      <c r="A477">
        <v>868</v>
      </c>
      <c r="B477">
        <v>97.72957714272728</v>
      </c>
      <c r="O477">
        <v>1.1479999999999999</v>
      </c>
      <c r="P477" s="6">
        <f t="shared" si="8"/>
        <v>0.97524518406818184</v>
      </c>
    </row>
    <row r="478" spans="1:16">
      <c r="A478">
        <v>870</v>
      </c>
      <c r="B478">
        <v>97.723359659090917</v>
      </c>
      <c r="O478">
        <v>1.1499999999999999</v>
      </c>
      <c r="P478" s="6">
        <f t="shared" si="8"/>
        <v>0.97525159910454551</v>
      </c>
    </row>
    <row r="479" spans="1:16">
      <c r="A479">
        <v>872</v>
      </c>
      <c r="B479">
        <v>97.72087025954545</v>
      </c>
      <c r="O479">
        <v>1.1519999999999999</v>
      </c>
      <c r="P479" s="6">
        <f t="shared" si="8"/>
        <v>0.97526258842727287</v>
      </c>
    </row>
    <row r="480" spans="1:16">
      <c r="A480">
        <v>874</v>
      </c>
      <c r="B480">
        <v>97.71319672909091</v>
      </c>
      <c r="O480">
        <v>1.1539999999999999</v>
      </c>
      <c r="P480" s="6">
        <f t="shared" si="8"/>
        <v>0.97528444405454551</v>
      </c>
    </row>
    <row r="481" spans="1:16">
      <c r="A481">
        <v>876</v>
      </c>
      <c r="B481">
        <v>97.706013643181819</v>
      </c>
      <c r="O481">
        <v>1.1559999999999999</v>
      </c>
      <c r="P481" s="6">
        <f t="shared" si="8"/>
        <v>0.97531388067727265</v>
      </c>
    </row>
    <row r="482" spans="1:16">
      <c r="A482">
        <v>878</v>
      </c>
      <c r="B482">
        <v>97.705621432272736</v>
      </c>
      <c r="O482">
        <v>1.1579999999999999</v>
      </c>
      <c r="P482" s="6">
        <f t="shared" si="8"/>
        <v>0.97531947619545467</v>
      </c>
    </row>
    <row r="483" spans="1:16">
      <c r="A483">
        <v>880</v>
      </c>
      <c r="B483">
        <v>97.701898323181823</v>
      </c>
      <c r="O483">
        <v>1.1599999999999999</v>
      </c>
      <c r="P483" s="6">
        <f t="shared" si="8"/>
        <v>0.97534532358181836</v>
      </c>
    </row>
    <row r="484" spans="1:16">
      <c r="A484">
        <v>882</v>
      </c>
      <c r="B484">
        <v>97.696139805909098</v>
      </c>
      <c r="O484">
        <v>1.1619999999999999</v>
      </c>
      <c r="P484" s="6">
        <f t="shared" si="8"/>
        <v>0.97536950570000014</v>
      </c>
    </row>
    <row r="485" spans="1:16">
      <c r="A485">
        <v>884</v>
      </c>
      <c r="B485">
        <v>97.691606947727266</v>
      </c>
      <c r="O485">
        <v>1.1639999999999999</v>
      </c>
      <c r="P485" s="6">
        <f t="shared" si="8"/>
        <v>0.9753835894727273</v>
      </c>
    </row>
    <row r="486" spans="1:16">
      <c r="A486">
        <v>886</v>
      </c>
      <c r="B486">
        <v>97.686535161363651</v>
      </c>
      <c r="O486">
        <v>1.1659999999999999</v>
      </c>
      <c r="P486" s="6">
        <f t="shared" si="8"/>
        <v>0.97539420702727286</v>
      </c>
    </row>
    <row r="487" spans="1:16">
      <c r="A487">
        <v>888</v>
      </c>
      <c r="B487">
        <v>97.680278872727285</v>
      </c>
      <c r="O487">
        <v>1.1679999999999999</v>
      </c>
      <c r="P487" s="6">
        <f t="shared" si="8"/>
        <v>0.97540950108181823</v>
      </c>
    </row>
    <row r="488" spans="1:16">
      <c r="A488">
        <v>890</v>
      </c>
      <c r="B488">
        <v>97.675540954090934</v>
      </c>
      <c r="O488">
        <v>1.17</v>
      </c>
      <c r="P488" s="6">
        <f t="shared" si="8"/>
        <v>0.97543127439545441</v>
      </c>
    </row>
    <row r="489" spans="1:16">
      <c r="A489">
        <v>892</v>
      </c>
      <c r="B489">
        <v>97.668541038636391</v>
      </c>
      <c r="O489">
        <v>1.1719999999999999</v>
      </c>
      <c r="P489" s="6">
        <f t="shared" si="8"/>
        <v>0.97545933610909086</v>
      </c>
    </row>
    <row r="490" spans="1:16">
      <c r="A490">
        <v>894</v>
      </c>
      <c r="B490">
        <v>97.660734178181826</v>
      </c>
      <c r="O490">
        <v>1.1739999999999999</v>
      </c>
      <c r="P490" s="6">
        <f t="shared" si="8"/>
        <v>0.97548236945454547</v>
      </c>
    </row>
    <row r="491" spans="1:16">
      <c r="A491">
        <v>896</v>
      </c>
      <c r="B491">
        <v>97.65521645090908</v>
      </c>
      <c r="O491">
        <v>1.1759999999999999</v>
      </c>
      <c r="P491" s="6">
        <f t="shared" si="8"/>
        <v>0.97550835342727282</v>
      </c>
    </row>
    <row r="492" spans="1:16">
      <c r="A492">
        <v>898</v>
      </c>
      <c r="B492">
        <v>97.650609420000009</v>
      </c>
      <c r="O492">
        <v>1.1779999999999999</v>
      </c>
      <c r="P492" s="6">
        <f t="shared" si="8"/>
        <v>0.97552995216363636</v>
      </c>
    </row>
    <row r="493" spans="1:16">
      <c r="A493">
        <v>900</v>
      </c>
      <c r="B493">
        <v>97.642649329545449</v>
      </c>
      <c r="O493">
        <v>1.18</v>
      </c>
      <c r="P493" s="6">
        <f t="shared" si="8"/>
        <v>0.97556745642727261</v>
      </c>
    </row>
    <row r="494" spans="1:16">
      <c r="A494">
        <v>902</v>
      </c>
      <c r="B494">
        <v>97.635852936818182</v>
      </c>
      <c r="O494">
        <v>1.1819999999999999</v>
      </c>
      <c r="P494" s="6">
        <f t="shared" si="8"/>
        <v>0.97559377508181822</v>
      </c>
    </row>
    <row r="495" spans="1:16">
      <c r="A495">
        <v>904</v>
      </c>
      <c r="B495">
        <v>97.630591376818188</v>
      </c>
      <c r="O495">
        <v>1.1839999999999999</v>
      </c>
      <c r="P495" s="6">
        <f t="shared" si="8"/>
        <v>0.97561725346363648</v>
      </c>
    </row>
    <row r="496" spans="1:16">
      <c r="A496">
        <v>906</v>
      </c>
      <c r="B496">
        <v>97.626716032727273</v>
      </c>
      <c r="O496">
        <v>1.1859999999999999</v>
      </c>
      <c r="P496" s="6">
        <f t="shared" si="8"/>
        <v>0.975637271959091</v>
      </c>
    </row>
    <row r="497" spans="1:16">
      <c r="A497">
        <v>908</v>
      </c>
      <c r="B497">
        <v>97.62591876636364</v>
      </c>
      <c r="O497">
        <v>1.1879999999999999</v>
      </c>
      <c r="P497" s="6">
        <f t="shared" si="8"/>
        <v>0.97566259018636359</v>
      </c>
    </row>
    <row r="498" spans="1:16">
      <c r="A498">
        <v>910</v>
      </c>
      <c r="B498">
        <v>97.622648020454548</v>
      </c>
      <c r="O498">
        <v>1.19</v>
      </c>
      <c r="P498" s="6">
        <f t="shared" si="8"/>
        <v>0.97568122834545468</v>
      </c>
    </row>
    <row r="499" spans="1:16">
      <c r="A499">
        <v>912</v>
      </c>
      <c r="B499">
        <v>97.619193199545464</v>
      </c>
      <c r="O499">
        <v>1.1919999999999999</v>
      </c>
      <c r="P499" s="6">
        <f t="shared" si="8"/>
        <v>0.97571049129545473</v>
      </c>
    </row>
    <row r="500" spans="1:16">
      <c r="A500">
        <v>914</v>
      </c>
      <c r="B500">
        <v>97.617272125909082</v>
      </c>
      <c r="O500">
        <v>1.194</v>
      </c>
      <c r="P500" s="6">
        <f t="shared" si="8"/>
        <v>0.97575173766363621</v>
      </c>
    </row>
    <row r="501" spans="1:16">
      <c r="A501">
        <v>916</v>
      </c>
      <c r="B501">
        <v>97.614246692727264</v>
      </c>
      <c r="O501">
        <v>1.196</v>
      </c>
      <c r="P501" s="6">
        <f t="shared" si="8"/>
        <v>0.97578017204999989</v>
      </c>
    </row>
    <row r="502" spans="1:16">
      <c r="A502">
        <v>918</v>
      </c>
      <c r="B502">
        <v>97.610472295909091</v>
      </c>
      <c r="O502">
        <v>1.198</v>
      </c>
      <c r="P502" s="6">
        <f t="shared" si="8"/>
        <v>0.97579127534545462</v>
      </c>
    </row>
    <row r="503" spans="1:16">
      <c r="A503">
        <v>920</v>
      </c>
      <c r="B503">
        <v>97.606089411363641</v>
      </c>
      <c r="O503">
        <v>1.2</v>
      </c>
      <c r="P503" s="6">
        <f t="shared" si="8"/>
        <v>0.97580936082727265</v>
      </c>
    </row>
    <row r="504" spans="1:16">
      <c r="A504">
        <v>922</v>
      </c>
      <c r="B504">
        <v>97.60084449499999</v>
      </c>
      <c r="O504">
        <v>1.202</v>
      </c>
      <c r="P504" s="6">
        <f t="shared" si="8"/>
        <v>0.97581557957727283</v>
      </c>
    </row>
    <row r="505" spans="1:16">
      <c r="A505">
        <v>924</v>
      </c>
      <c r="B505">
        <v>97.598961231363631</v>
      </c>
      <c r="O505">
        <v>1.204</v>
      </c>
      <c r="P505" s="6">
        <f t="shared" si="8"/>
        <v>0.9758197775727272</v>
      </c>
    </row>
    <row r="506" spans="1:16">
      <c r="A506">
        <v>926</v>
      </c>
      <c r="B506">
        <v>97.593822960909094</v>
      </c>
      <c r="O506">
        <v>1.206</v>
      </c>
      <c r="P506" s="6">
        <f t="shared" si="8"/>
        <v>0.97583513765909102</v>
      </c>
    </row>
    <row r="507" spans="1:16">
      <c r="A507">
        <v>928</v>
      </c>
      <c r="B507">
        <v>97.587867795454557</v>
      </c>
      <c r="O507">
        <v>1.208</v>
      </c>
      <c r="P507" s="6">
        <f t="shared" si="8"/>
        <v>0.97585963908181805</v>
      </c>
    </row>
    <row r="508" spans="1:16">
      <c r="A508">
        <v>930</v>
      </c>
      <c r="B508">
        <v>97.582387335454541</v>
      </c>
      <c r="O508">
        <v>1.21</v>
      </c>
      <c r="P508" s="6">
        <f t="shared" si="8"/>
        <v>0.97589075815909099</v>
      </c>
    </row>
    <row r="509" spans="1:16">
      <c r="A509">
        <v>932</v>
      </c>
      <c r="B509">
        <v>97.578617732727281</v>
      </c>
      <c r="O509">
        <v>1.212</v>
      </c>
      <c r="P509" s="6">
        <f t="shared" si="8"/>
        <v>0.97593224061363637</v>
      </c>
    </row>
    <row r="510" spans="1:16">
      <c r="A510">
        <v>934</v>
      </c>
      <c r="B510">
        <v>97.5750825881818</v>
      </c>
      <c r="O510">
        <v>1.214</v>
      </c>
      <c r="P510" s="6">
        <f t="shared" si="8"/>
        <v>0.97595747652727272</v>
      </c>
    </row>
    <row r="511" spans="1:16">
      <c r="A511">
        <v>936</v>
      </c>
      <c r="B511">
        <v>97.569857390909092</v>
      </c>
      <c r="O511">
        <v>1.216</v>
      </c>
      <c r="P511" s="6">
        <f t="shared" si="8"/>
        <v>0.97597484741818197</v>
      </c>
    </row>
    <row r="512" spans="1:16">
      <c r="A512">
        <v>938</v>
      </c>
      <c r="B512">
        <v>97.564133517727271</v>
      </c>
      <c r="O512">
        <v>1.218</v>
      </c>
      <c r="P512" s="6">
        <f t="shared" si="8"/>
        <v>0.97600150889545445</v>
      </c>
    </row>
    <row r="513" spans="1:16">
      <c r="A513">
        <v>940</v>
      </c>
      <c r="B513">
        <v>97.559227172727276</v>
      </c>
      <c r="O513">
        <v>1.22</v>
      </c>
      <c r="P513" s="6">
        <f t="shared" si="8"/>
        <v>0.97602882616818187</v>
      </c>
    </row>
    <row r="514" spans="1:16">
      <c r="A514">
        <v>942</v>
      </c>
      <c r="B514">
        <v>97.555289595909088</v>
      </c>
      <c r="O514">
        <v>1.222</v>
      </c>
      <c r="P514" s="6">
        <f t="shared" si="8"/>
        <v>0.97605206936818178</v>
      </c>
    </row>
    <row r="515" spans="1:16">
      <c r="A515">
        <v>944</v>
      </c>
      <c r="B515">
        <v>97.55174513454547</v>
      </c>
      <c r="O515">
        <v>1.224</v>
      </c>
      <c r="P515" s="6">
        <f t="shared" si="8"/>
        <v>0.97608377097272736</v>
      </c>
    </row>
    <row r="516" spans="1:16">
      <c r="A516">
        <v>946</v>
      </c>
      <c r="B516">
        <v>97.546830105909095</v>
      </c>
      <c r="O516">
        <v>1.226</v>
      </c>
      <c r="P516" s="6">
        <f t="shared" ref="P516:P579" si="9">B656/100</f>
        <v>0.97611674255909098</v>
      </c>
    </row>
    <row r="517" spans="1:16">
      <c r="A517">
        <v>948</v>
      </c>
      <c r="B517">
        <v>97.54398494863635</v>
      </c>
      <c r="O517">
        <v>1.228</v>
      </c>
      <c r="P517" s="6">
        <f t="shared" si="9"/>
        <v>0.97615393837272735</v>
      </c>
    </row>
    <row r="518" spans="1:16">
      <c r="A518">
        <v>950</v>
      </c>
      <c r="B518">
        <v>97.540057502727279</v>
      </c>
      <c r="O518">
        <v>1.23</v>
      </c>
      <c r="P518" s="6">
        <f t="shared" si="9"/>
        <v>0.97619077146363653</v>
      </c>
    </row>
    <row r="519" spans="1:16">
      <c r="A519">
        <v>952</v>
      </c>
      <c r="B519">
        <v>97.535511890454529</v>
      </c>
      <c r="O519">
        <v>1.232</v>
      </c>
      <c r="P519" s="6">
        <f t="shared" si="9"/>
        <v>0.97620418134999998</v>
      </c>
    </row>
    <row r="520" spans="1:16">
      <c r="A520">
        <v>954</v>
      </c>
      <c r="B520">
        <v>97.531757484090932</v>
      </c>
      <c r="O520">
        <v>1.234</v>
      </c>
      <c r="P520" s="6">
        <f t="shared" si="9"/>
        <v>0.9762189064454545</v>
      </c>
    </row>
    <row r="521" spans="1:16">
      <c r="A521">
        <v>956</v>
      </c>
      <c r="B521">
        <v>97.530004203636381</v>
      </c>
      <c r="O521">
        <v>1.236</v>
      </c>
      <c r="P521" s="6">
        <f t="shared" si="9"/>
        <v>0.97625076725000004</v>
      </c>
    </row>
    <row r="522" spans="1:16">
      <c r="A522">
        <v>958</v>
      </c>
      <c r="B522">
        <v>97.528593112727279</v>
      </c>
      <c r="O522">
        <v>1.238</v>
      </c>
      <c r="P522" s="6">
        <f t="shared" si="9"/>
        <v>0.97627852774999979</v>
      </c>
    </row>
    <row r="523" spans="1:16">
      <c r="A523">
        <v>960</v>
      </c>
      <c r="B523">
        <v>97.528227947727274</v>
      </c>
      <c r="O523">
        <v>1.24</v>
      </c>
      <c r="P523" s="6">
        <f t="shared" si="9"/>
        <v>0.97630360627272728</v>
      </c>
    </row>
    <row r="524" spans="1:16">
      <c r="A524">
        <v>962</v>
      </c>
      <c r="B524">
        <v>97.526449882727263</v>
      </c>
      <c r="O524">
        <v>1.242</v>
      </c>
      <c r="P524" s="6">
        <f t="shared" si="9"/>
        <v>0.97633084484999999</v>
      </c>
    </row>
    <row r="525" spans="1:16">
      <c r="A525">
        <v>964</v>
      </c>
      <c r="B525">
        <v>97.523606172727256</v>
      </c>
      <c r="O525">
        <v>1.244</v>
      </c>
      <c r="P525" s="6">
        <f t="shared" si="9"/>
        <v>0.9763550794318181</v>
      </c>
    </row>
    <row r="526" spans="1:16">
      <c r="A526">
        <v>966</v>
      </c>
      <c r="B526">
        <v>97.521104290454559</v>
      </c>
      <c r="O526">
        <v>1.246</v>
      </c>
      <c r="P526" s="6">
        <f t="shared" si="9"/>
        <v>0.97637444665454554</v>
      </c>
    </row>
    <row r="527" spans="1:16">
      <c r="A527">
        <v>968</v>
      </c>
      <c r="B527">
        <v>97.519286968181802</v>
      </c>
      <c r="O527">
        <v>1.248</v>
      </c>
      <c r="P527" s="6">
        <f t="shared" si="9"/>
        <v>0.97639677807272729</v>
      </c>
    </row>
    <row r="528" spans="1:16">
      <c r="A528">
        <v>970</v>
      </c>
      <c r="B528">
        <v>97.516495812272737</v>
      </c>
      <c r="O528">
        <v>1.25</v>
      </c>
      <c r="P528" s="6">
        <f t="shared" si="9"/>
        <v>0.9764217769954544</v>
      </c>
    </row>
    <row r="529" spans="1:16">
      <c r="A529">
        <v>972</v>
      </c>
      <c r="B529">
        <v>97.515553456818168</v>
      </c>
      <c r="O529">
        <v>1.252</v>
      </c>
      <c r="P529" s="6">
        <f t="shared" si="9"/>
        <v>0.97644403876363628</v>
      </c>
    </row>
    <row r="530" spans="1:16">
      <c r="A530">
        <v>974</v>
      </c>
      <c r="B530">
        <v>97.513859152727278</v>
      </c>
      <c r="O530">
        <v>1.254</v>
      </c>
      <c r="P530" s="6">
        <f t="shared" si="9"/>
        <v>0.97648790288636389</v>
      </c>
    </row>
    <row r="531" spans="1:16">
      <c r="A531">
        <v>976</v>
      </c>
      <c r="B531">
        <v>97.510403969999984</v>
      </c>
      <c r="O531">
        <v>1.256</v>
      </c>
      <c r="P531" s="6">
        <f t="shared" si="9"/>
        <v>0.97651891974999994</v>
      </c>
    </row>
    <row r="532" spans="1:16">
      <c r="A532">
        <v>978</v>
      </c>
      <c r="B532">
        <v>97.507503544999992</v>
      </c>
      <c r="O532">
        <v>1.258</v>
      </c>
      <c r="P532" s="6">
        <f t="shared" si="9"/>
        <v>0.97653196691363631</v>
      </c>
    </row>
    <row r="533" spans="1:16">
      <c r="A533">
        <v>980</v>
      </c>
      <c r="B533">
        <v>97.505452216818185</v>
      </c>
      <c r="O533">
        <v>1.26</v>
      </c>
      <c r="P533" s="6">
        <f t="shared" si="9"/>
        <v>0.97655530147272729</v>
      </c>
    </row>
    <row r="534" spans="1:16">
      <c r="A534">
        <v>982</v>
      </c>
      <c r="B534">
        <v>97.502426421818171</v>
      </c>
      <c r="O534">
        <v>1.262</v>
      </c>
      <c r="P534" s="6">
        <f t="shared" si="9"/>
        <v>0.97658547349090907</v>
      </c>
    </row>
    <row r="535" spans="1:16">
      <c r="A535">
        <v>984</v>
      </c>
      <c r="B535">
        <v>97.499124469090916</v>
      </c>
      <c r="O535">
        <v>1.264</v>
      </c>
      <c r="P535" s="6">
        <f t="shared" si="9"/>
        <v>0.97662333414545444</v>
      </c>
    </row>
    <row r="536" spans="1:16">
      <c r="A536">
        <v>986</v>
      </c>
      <c r="B536">
        <v>97.495828667272718</v>
      </c>
      <c r="O536">
        <v>1.266</v>
      </c>
      <c r="P536" s="6">
        <f t="shared" si="9"/>
        <v>0.97666569672272718</v>
      </c>
    </row>
    <row r="537" spans="1:16">
      <c r="A537">
        <v>988</v>
      </c>
      <c r="B537">
        <v>97.494755062272745</v>
      </c>
      <c r="O537">
        <v>1.268</v>
      </c>
      <c r="P537" s="6">
        <f t="shared" si="9"/>
        <v>0.97670302188636371</v>
      </c>
    </row>
    <row r="538" spans="1:16">
      <c r="A538">
        <v>990</v>
      </c>
      <c r="B538">
        <v>97.491934599090925</v>
      </c>
      <c r="O538">
        <v>1.27</v>
      </c>
      <c r="P538" s="6">
        <f t="shared" si="9"/>
        <v>0.97673862750909113</v>
      </c>
    </row>
    <row r="539" spans="1:16">
      <c r="A539">
        <v>992</v>
      </c>
      <c r="B539">
        <v>97.490530654090904</v>
      </c>
      <c r="O539">
        <v>1.272</v>
      </c>
      <c r="P539" s="6">
        <f t="shared" si="9"/>
        <v>0.97675877897272745</v>
      </c>
    </row>
    <row r="540" spans="1:16">
      <c r="A540">
        <v>994</v>
      </c>
      <c r="B540">
        <v>97.489233174090913</v>
      </c>
      <c r="O540">
        <v>1.274</v>
      </c>
      <c r="P540" s="6">
        <f t="shared" si="9"/>
        <v>0.97678430705454544</v>
      </c>
    </row>
    <row r="541" spans="1:16">
      <c r="A541">
        <v>996</v>
      </c>
      <c r="B541">
        <v>97.487952247272744</v>
      </c>
      <c r="O541">
        <v>1.276</v>
      </c>
      <c r="P541" s="6">
        <f t="shared" si="9"/>
        <v>0.97680130979545465</v>
      </c>
    </row>
    <row r="542" spans="1:16">
      <c r="A542">
        <v>998</v>
      </c>
      <c r="B542">
        <v>97.486597871363642</v>
      </c>
      <c r="O542">
        <v>1.278</v>
      </c>
      <c r="P542" s="6">
        <f t="shared" si="9"/>
        <v>0.97682899250454536</v>
      </c>
    </row>
    <row r="543" spans="1:16">
      <c r="A543">
        <v>1000</v>
      </c>
      <c r="B543">
        <v>97.483175433181799</v>
      </c>
      <c r="O543">
        <v>1.28</v>
      </c>
      <c r="P543" s="6">
        <f t="shared" si="9"/>
        <v>0.97686503502272726</v>
      </c>
    </row>
    <row r="544" spans="1:16">
      <c r="A544">
        <v>1002</v>
      </c>
      <c r="B544">
        <v>97.48043547454543</v>
      </c>
      <c r="O544">
        <v>1.282</v>
      </c>
      <c r="P544" s="6">
        <f t="shared" si="9"/>
        <v>0.97689103256363652</v>
      </c>
    </row>
    <row r="545" spans="1:16">
      <c r="A545">
        <v>1004</v>
      </c>
      <c r="B545">
        <v>97.479892385454548</v>
      </c>
      <c r="O545">
        <v>1.284</v>
      </c>
      <c r="P545" s="6">
        <f t="shared" si="9"/>
        <v>0.97691361635000018</v>
      </c>
    </row>
    <row r="546" spans="1:16">
      <c r="A546">
        <v>1006</v>
      </c>
      <c r="B546">
        <v>97.480212232727283</v>
      </c>
      <c r="O546">
        <v>1.286</v>
      </c>
      <c r="P546" s="6">
        <f t="shared" si="9"/>
        <v>0.97693931086818198</v>
      </c>
    </row>
    <row r="547" spans="1:16">
      <c r="A547">
        <v>1008</v>
      </c>
      <c r="B547">
        <v>97.480157236363624</v>
      </c>
      <c r="O547">
        <v>1.288</v>
      </c>
      <c r="P547" s="6">
        <f t="shared" si="9"/>
        <v>0.97695992455454539</v>
      </c>
    </row>
    <row r="548" spans="1:16">
      <c r="A548">
        <v>1010</v>
      </c>
      <c r="B548">
        <v>97.478449544999989</v>
      </c>
      <c r="O548">
        <v>1.29</v>
      </c>
      <c r="P548" s="6">
        <f t="shared" si="9"/>
        <v>0.97697736328636353</v>
      </c>
    </row>
    <row r="549" spans="1:16">
      <c r="A549">
        <v>1012</v>
      </c>
      <c r="B549">
        <v>97.479603744999991</v>
      </c>
      <c r="O549">
        <v>1.292</v>
      </c>
      <c r="P549" s="6">
        <f t="shared" si="9"/>
        <v>0.9769997643545455</v>
      </c>
    </row>
    <row r="550" spans="1:16">
      <c r="A550">
        <v>1014</v>
      </c>
      <c r="B550">
        <v>97.479324421363643</v>
      </c>
      <c r="O550">
        <v>1.294</v>
      </c>
      <c r="P550" s="6">
        <f t="shared" si="9"/>
        <v>0.97703437497727297</v>
      </c>
    </row>
    <row r="551" spans="1:16">
      <c r="A551">
        <v>1016</v>
      </c>
      <c r="B551">
        <v>97.479458113181806</v>
      </c>
      <c r="O551">
        <v>1.296</v>
      </c>
      <c r="P551" s="6">
        <f t="shared" si="9"/>
        <v>0.9770544884500002</v>
      </c>
    </row>
    <row r="552" spans="1:16">
      <c r="A552">
        <v>1018</v>
      </c>
      <c r="B552">
        <v>97.477444142727279</v>
      </c>
      <c r="O552">
        <v>1.298</v>
      </c>
      <c r="P552" s="6">
        <f t="shared" si="9"/>
        <v>0.97708196039999995</v>
      </c>
    </row>
    <row r="553" spans="1:16">
      <c r="A553">
        <v>1020</v>
      </c>
      <c r="B553">
        <v>97.478125265454537</v>
      </c>
      <c r="O553">
        <v>1.3</v>
      </c>
      <c r="P553" s="6">
        <f t="shared" si="9"/>
        <v>0.97712441524090887</v>
      </c>
    </row>
    <row r="554" spans="1:16">
      <c r="A554">
        <v>1022</v>
      </c>
      <c r="B554">
        <v>97.479519170000017</v>
      </c>
      <c r="O554">
        <v>1.302</v>
      </c>
      <c r="P554" s="6">
        <f t="shared" si="9"/>
        <v>0.97714711390454534</v>
      </c>
    </row>
    <row r="555" spans="1:16">
      <c r="A555">
        <v>1024</v>
      </c>
      <c r="B555">
        <v>97.479521612272734</v>
      </c>
      <c r="O555">
        <v>1.304</v>
      </c>
      <c r="P555" s="6">
        <f t="shared" si="9"/>
        <v>0.97716396739545464</v>
      </c>
    </row>
    <row r="556" spans="1:16">
      <c r="A556">
        <v>1026</v>
      </c>
      <c r="B556">
        <v>97.478144351363639</v>
      </c>
      <c r="O556">
        <v>1.306</v>
      </c>
      <c r="P556" s="6">
        <f t="shared" si="9"/>
        <v>0.97718955427272713</v>
      </c>
    </row>
    <row r="557" spans="1:16">
      <c r="A557">
        <v>1028</v>
      </c>
      <c r="B557">
        <v>97.478065655909091</v>
      </c>
      <c r="O557">
        <v>1.3080000000000001</v>
      </c>
      <c r="P557" s="6">
        <f t="shared" si="9"/>
        <v>0.97720782518636351</v>
      </c>
    </row>
    <row r="558" spans="1:16">
      <c r="A558">
        <v>1030</v>
      </c>
      <c r="B558">
        <v>97.477764080454534</v>
      </c>
      <c r="O558">
        <v>1.31</v>
      </c>
      <c r="P558" s="6">
        <f t="shared" si="9"/>
        <v>0.97723386795454548</v>
      </c>
    </row>
    <row r="559" spans="1:16">
      <c r="A559">
        <v>1032</v>
      </c>
      <c r="B559">
        <v>97.475727134545451</v>
      </c>
      <c r="O559">
        <v>1.3120000000000001</v>
      </c>
      <c r="P559" s="6">
        <f t="shared" si="9"/>
        <v>0.9772547765227273</v>
      </c>
    </row>
    <row r="560" spans="1:16">
      <c r="A560">
        <v>1034</v>
      </c>
      <c r="B560">
        <v>97.473133621818178</v>
      </c>
      <c r="O560">
        <v>1.3140000000000001</v>
      </c>
      <c r="P560" s="6">
        <f t="shared" si="9"/>
        <v>0.9772810843227272</v>
      </c>
    </row>
    <row r="561" spans="1:16">
      <c r="A561">
        <v>1036</v>
      </c>
      <c r="B561">
        <v>97.473047599545453</v>
      </c>
      <c r="O561">
        <v>1.3160000000000001</v>
      </c>
      <c r="P561" s="6">
        <f t="shared" si="9"/>
        <v>0.97730665582272724</v>
      </c>
    </row>
    <row r="562" spans="1:16">
      <c r="A562">
        <v>1038</v>
      </c>
      <c r="B562">
        <v>97.471484454545447</v>
      </c>
      <c r="O562">
        <v>1.3180000000000001</v>
      </c>
      <c r="P562" s="6">
        <f t="shared" si="9"/>
        <v>0.97733646421363629</v>
      </c>
    </row>
    <row r="563" spans="1:16">
      <c r="A563">
        <v>1040</v>
      </c>
      <c r="B563">
        <v>97.470478961818174</v>
      </c>
      <c r="O563">
        <v>1.32</v>
      </c>
      <c r="P563" s="6">
        <f t="shared" si="9"/>
        <v>0.97737011511363636</v>
      </c>
    </row>
    <row r="564" spans="1:16">
      <c r="A564">
        <v>1042</v>
      </c>
      <c r="B564">
        <v>97.469708922272716</v>
      </c>
      <c r="O564">
        <v>1.3220000000000001</v>
      </c>
      <c r="P564" s="6">
        <f t="shared" si="9"/>
        <v>0.97739392365454536</v>
      </c>
    </row>
    <row r="565" spans="1:16">
      <c r="A565">
        <v>1044</v>
      </c>
      <c r="B565">
        <v>97.468370647272735</v>
      </c>
      <c r="O565">
        <v>1.3240000000000001</v>
      </c>
      <c r="P565" s="6">
        <f t="shared" si="9"/>
        <v>0.97740952796818192</v>
      </c>
    </row>
    <row r="566" spans="1:16">
      <c r="A566">
        <v>1046</v>
      </c>
      <c r="B566">
        <v>97.46880048727273</v>
      </c>
      <c r="O566">
        <v>1.3260000000000001</v>
      </c>
      <c r="P566" s="6">
        <f t="shared" si="9"/>
        <v>0.97743528851818184</v>
      </c>
    </row>
    <row r="567" spans="1:16">
      <c r="A567">
        <v>1048</v>
      </c>
      <c r="B567">
        <v>97.470089826363647</v>
      </c>
      <c r="O567">
        <v>1.3280000000000001</v>
      </c>
      <c r="P567" s="6">
        <f t="shared" si="9"/>
        <v>0.97746506886818196</v>
      </c>
    </row>
    <row r="568" spans="1:16">
      <c r="A568">
        <v>1050</v>
      </c>
      <c r="B568">
        <v>97.468894469545475</v>
      </c>
      <c r="O568">
        <v>1.33</v>
      </c>
      <c r="P568" s="6">
        <f t="shared" si="9"/>
        <v>0.9775028028863636</v>
      </c>
    </row>
    <row r="569" spans="1:16">
      <c r="A569">
        <v>1052</v>
      </c>
      <c r="B569">
        <v>97.469419196363631</v>
      </c>
      <c r="O569">
        <v>1.3320000000000001</v>
      </c>
      <c r="P569" s="6">
        <f t="shared" si="9"/>
        <v>0.97752517681818174</v>
      </c>
    </row>
    <row r="570" spans="1:16">
      <c r="A570">
        <v>1054</v>
      </c>
      <c r="B570">
        <v>97.470212301818179</v>
      </c>
      <c r="O570">
        <v>1.3340000000000001</v>
      </c>
      <c r="P570" s="6">
        <f t="shared" si="9"/>
        <v>0.97756358110454533</v>
      </c>
    </row>
    <row r="571" spans="1:16">
      <c r="A571">
        <v>1056</v>
      </c>
      <c r="B571">
        <v>97.469560667272731</v>
      </c>
      <c r="O571">
        <v>1.3360000000000001</v>
      </c>
      <c r="P571" s="6">
        <f t="shared" si="9"/>
        <v>0.97759405252727261</v>
      </c>
    </row>
    <row r="572" spans="1:16">
      <c r="A572">
        <v>1058</v>
      </c>
      <c r="B572">
        <v>97.467857498636349</v>
      </c>
      <c r="O572">
        <v>1.3380000000000001</v>
      </c>
      <c r="P572" s="6">
        <f t="shared" si="9"/>
        <v>0.97761691943636353</v>
      </c>
    </row>
    <row r="573" spans="1:16">
      <c r="A573">
        <v>1060</v>
      </c>
      <c r="B573">
        <v>97.467243040909082</v>
      </c>
      <c r="O573">
        <v>1.34</v>
      </c>
      <c r="P573" s="6">
        <f t="shared" si="9"/>
        <v>0.97763800258181821</v>
      </c>
    </row>
    <row r="574" spans="1:16">
      <c r="A574">
        <v>1062</v>
      </c>
      <c r="B574">
        <v>97.467746963181824</v>
      </c>
      <c r="O574">
        <v>1.3420000000000001</v>
      </c>
      <c r="P574" s="6">
        <f t="shared" si="9"/>
        <v>0.97766886838636358</v>
      </c>
    </row>
    <row r="575" spans="1:16">
      <c r="A575">
        <v>1064</v>
      </c>
      <c r="B575">
        <v>97.466478971363642</v>
      </c>
      <c r="O575">
        <v>1.3440000000000001</v>
      </c>
      <c r="P575" s="6">
        <f t="shared" si="9"/>
        <v>0.97768653325454546</v>
      </c>
    </row>
    <row r="576" spans="1:16">
      <c r="A576">
        <v>1066</v>
      </c>
      <c r="B576">
        <v>97.467147611363629</v>
      </c>
      <c r="O576">
        <v>1.3460000000000001</v>
      </c>
      <c r="P576" s="6">
        <f t="shared" si="9"/>
        <v>0.97772834948636356</v>
      </c>
    </row>
    <row r="577" spans="1:16">
      <c r="A577">
        <v>1068</v>
      </c>
      <c r="B577">
        <v>97.466828125909103</v>
      </c>
      <c r="O577">
        <v>1.3480000000000001</v>
      </c>
      <c r="P577" s="6">
        <f t="shared" si="9"/>
        <v>0.97775472150909082</v>
      </c>
    </row>
    <row r="578" spans="1:16">
      <c r="A578">
        <v>1070</v>
      </c>
      <c r="B578">
        <v>97.465657553636362</v>
      </c>
      <c r="O578">
        <v>1.35</v>
      </c>
      <c r="P578" s="6">
        <f t="shared" si="9"/>
        <v>0.97777523117272724</v>
      </c>
    </row>
    <row r="579" spans="1:16">
      <c r="A579">
        <v>1072</v>
      </c>
      <c r="B579">
        <v>97.465626346818183</v>
      </c>
      <c r="O579">
        <v>1.3520000000000001</v>
      </c>
      <c r="P579" s="6">
        <f t="shared" si="9"/>
        <v>0.97778695950909078</v>
      </c>
    </row>
    <row r="580" spans="1:16">
      <c r="A580">
        <v>1074</v>
      </c>
      <c r="B580">
        <v>97.465053226818185</v>
      </c>
      <c r="O580">
        <v>1.3540000000000001</v>
      </c>
      <c r="P580" s="6">
        <f t="shared" ref="P580:P643" si="10">B720/100</f>
        <v>0.97781166716818158</v>
      </c>
    </row>
    <row r="581" spans="1:16">
      <c r="A581">
        <v>1076</v>
      </c>
      <c r="B581">
        <v>97.467505359090922</v>
      </c>
      <c r="O581">
        <v>1.3560000000000001</v>
      </c>
      <c r="P581" s="6">
        <f t="shared" si="10"/>
        <v>0.97783040663636345</v>
      </c>
    </row>
    <row r="582" spans="1:16">
      <c r="A582">
        <v>1078</v>
      </c>
      <c r="B582">
        <v>97.469466865909098</v>
      </c>
      <c r="O582">
        <v>1.3580000000000001</v>
      </c>
      <c r="P582" s="6">
        <f t="shared" si="10"/>
        <v>0.97784917595454546</v>
      </c>
    </row>
    <row r="583" spans="1:16">
      <c r="A583">
        <v>1080</v>
      </c>
      <c r="B583">
        <v>97.472309219090903</v>
      </c>
      <c r="O583">
        <v>1.36</v>
      </c>
      <c r="P583" s="6">
        <f t="shared" si="10"/>
        <v>0.9778718673818183</v>
      </c>
    </row>
    <row r="584" spans="1:16">
      <c r="A584">
        <v>1082</v>
      </c>
      <c r="B584">
        <v>97.473981633181822</v>
      </c>
      <c r="O584">
        <v>1.3620000000000001</v>
      </c>
      <c r="P584" s="6">
        <f t="shared" si="10"/>
        <v>0.97789205502727283</v>
      </c>
    </row>
    <row r="585" spans="1:16">
      <c r="A585">
        <v>1084</v>
      </c>
      <c r="B585">
        <v>97.477171422272747</v>
      </c>
      <c r="O585">
        <v>1.3640000000000001</v>
      </c>
      <c r="P585" s="6">
        <f t="shared" si="10"/>
        <v>0.97790032076363631</v>
      </c>
    </row>
    <row r="586" spans="1:16">
      <c r="A586">
        <v>1086</v>
      </c>
      <c r="B586">
        <v>97.479841640454566</v>
      </c>
      <c r="O586">
        <v>1.3660000000000001</v>
      </c>
      <c r="P586" s="6">
        <f t="shared" si="10"/>
        <v>0.97791679253636365</v>
      </c>
    </row>
    <row r="587" spans="1:16">
      <c r="A587">
        <v>1088</v>
      </c>
      <c r="B587">
        <v>97.480697340454554</v>
      </c>
      <c r="O587">
        <v>1.3680000000000001</v>
      </c>
      <c r="P587" s="6">
        <f t="shared" si="10"/>
        <v>0.97793119832727282</v>
      </c>
    </row>
    <row r="588" spans="1:16">
      <c r="A588">
        <v>1090</v>
      </c>
      <c r="B588">
        <v>97.480650575454547</v>
      </c>
      <c r="O588">
        <v>1.37</v>
      </c>
      <c r="P588" s="6">
        <f t="shared" si="10"/>
        <v>0.97796783875000004</v>
      </c>
    </row>
    <row r="589" spans="1:16">
      <c r="A589">
        <v>1092</v>
      </c>
      <c r="B589">
        <v>97.480869294545457</v>
      </c>
      <c r="O589">
        <v>1.3720000000000001</v>
      </c>
      <c r="P589" s="6">
        <f t="shared" si="10"/>
        <v>0.97801196971363635</v>
      </c>
    </row>
    <row r="590" spans="1:16">
      <c r="A590">
        <v>1094</v>
      </c>
      <c r="B590">
        <v>97.482313582272724</v>
      </c>
      <c r="O590">
        <v>1.3740000000000001</v>
      </c>
      <c r="P590" s="6">
        <f t="shared" si="10"/>
        <v>0.97805153815000001</v>
      </c>
    </row>
    <row r="591" spans="1:16">
      <c r="A591">
        <v>1096</v>
      </c>
      <c r="B591">
        <v>97.484512894090912</v>
      </c>
      <c r="O591">
        <v>1.3759999999999999</v>
      </c>
      <c r="P591" s="6">
        <f t="shared" si="10"/>
        <v>0.97808298286363626</v>
      </c>
    </row>
    <row r="592" spans="1:16">
      <c r="A592">
        <v>1098</v>
      </c>
      <c r="B592">
        <v>97.484182101818192</v>
      </c>
      <c r="O592">
        <v>1.3779999999999999</v>
      </c>
      <c r="P592" s="6">
        <f t="shared" si="10"/>
        <v>0.9781226652727274</v>
      </c>
    </row>
    <row r="593" spans="1:16">
      <c r="A593">
        <v>1100</v>
      </c>
      <c r="B593">
        <v>97.485496315909103</v>
      </c>
      <c r="O593">
        <v>1.38</v>
      </c>
      <c r="P593" s="6">
        <f t="shared" si="10"/>
        <v>0.97814364801363651</v>
      </c>
    </row>
    <row r="594" spans="1:16">
      <c r="A594">
        <v>1102</v>
      </c>
      <c r="B594">
        <v>97.484632474999998</v>
      </c>
      <c r="O594">
        <v>1.3819999999999999</v>
      </c>
      <c r="P594" s="6">
        <f t="shared" si="10"/>
        <v>0.97818050733636353</v>
      </c>
    </row>
    <row r="595" spans="1:16">
      <c r="A595">
        <v>1104</v>
      </c>
      <c r="B595">
        <v>97.484934955</v>
      </c>
      <c r="O595">
        <v>1.3839999999999999</v>
      </c>
      <c r="P595" s="6">
        <f t="shared" si="10"/>
        <v>0.97823136450000003</v>
      </c>
    </row>
    <row r="596" spans="1:16">
      <c r="A596">
        <v>1106</v>
      </c>
      <c r="B596">
        <v>97.483205916363644</v>
      </c>
      <c r="O596">
        <v>1.3859999999999999</v>
      </c>
      <c r="P596" s="6">
        <f t="shared" si="10"/>
        <v>0.97826366672272713</v>
      </c>
    </row>
    <row r="597" spans="1:16">
      <c r="A597">
        <v>1108</v>
      </c>
      <c r="B597">
        <v>97.483791066818171</v>
      </c>
      <c r="O597">
        <v>1.3879999999999999</v>
      </c>
      <c r="P597" s="6">
        <f t="shared" si="10"/>
        <v>0.97830379235909082</v>
      </c>
    </row>
    <row r="598" spans="1:16">
      <c r="A598">
        <v>1110</v>
      </c>
      <c r="B598">
        <v>97.484741653636362</v>
      </c>
      <c r="O598">
        <v>1.39</v>
      </c>
      <c r="P598" s="6">
        <f t="shared" si="10"/>
        <v>0.97833249629999997</v>
      </c>
    </row>
    <row r="599" spans="1:16">
      <c r="A599">
        <v>1112</v>
      </c>
      <c r="B599">
        <v>97.486867245000013</v>
      </c>
      <c r="O599">
        <v>1.3919999999999999</v>
      </c>
      <c r="P599" s="6">
        <f t="shared" si="10"/>
        <v>0.97834236941363628</v>
      </c>
    </row>
    <row r="600" spans="1:16">
      <c r="A600">
        <v>1114</v>
      </c>
      <c r="B600">
        <v>97.488214474999992</v>
      </c>
      <c r="O600">
        <v>1.3939999999999999</v>
      </c>
      <c r="P600" s="6">
        <f t="shared" si="10"/>
        <v>0.9783339915136362</v>
      </c>
    </row>
    <row r="601" spans="1:16">
      <c r="A601">
        <v>1116</v>
      </c>
      <c r="B601">
        <v>97.491240450909117</v>
      </c>
      <c r="O601">
        <v>1.3959999999999999</v>
      </c>
      <c r="P601" s="6">
        <f t="shared" si="10"/>
        <v>0.9783285506727275</v>
      </c>
    </row>
    <row r="602" spans="1:16">
      <c r="A602">
        <v>1118</v>
      </c>
      <c r="B602">
        <v>97.493587655909096</v>
      </c>
      <c r="O602">
        <v>1.3979999999999999</v>
      </c>
      <c r="P602" s="6">
        <f t="shared" si="10"/>
        <v>0.97833228463636357</v>
      </c>
    </row>
    <row r="603" spans="1:16">
      <c r="A603">
        <v>1120</v>
      </c>
      <c r="B603">
        <v>97.496196184090905</v>
      </c>
      <c r="O603">
        <v>1.4</v>
      </c>
      <c r="P603" s="6">
        <f t="shared" si="10"/>
        <v>0.97830591080454521</v>
      </c>
    </row>
    <row r="604" spans="1:16">
      <c r="A604">
        <v>1122</v>
      </c>
      <c r="B604">
        <v>97.49789763409089</v>
      </c>
      <c r="O604">
        <v>1.4019999999999999</v>
      </c>
      <c r="P604" s="6">
        <f t="shared" si="10"/>
        <v>0.97827335440454544</v>
      </c>
    </row>
    <row r="605" spans="1:16">
      <c r="A605">
        <v>1124</v>
      </c>
      <c r="B605">
        <v>97.50146615636362</v>
      </c>
      <c r="O605">
        <v>1.4039999999999999</v>
      </c>
      <c r="P605" s="6">
        <f t="shared" si="10"/>
        <v>0.97825419341818176</v>
      </c>
    </row>
    <row r="606" spans="1:16">
      <c r="A606">
        <v>1126</v>
      </c>
      <c r="B606">
        <v>97.503175837727269</v>
      </c>
      <c r="O606">
        <v>1.4059999999999999</v>
      </c>
      <c r="P606" s="6">
        <f t="shared" si="10"/>
        <v>0.97821060608636368</v>
      </c>
    </row>
    <row r="607" spans="1:16">
      <c r="A607">
        <v>1128</v>
      </c>
      <c r="B607">
        <v>97.506544726818177</v>
      </c>
      <c r="O607">
        <v>1.4079999999999999</v>
      </c>
      <c r="P607" s="6">
        <f t="shared" si="10"/>
        <v>0.97819953083181832</v>
      </c>
    </row>
    <row r="608" spans="1:16">
      <c r="A608">
        <v>1130</v>
      </c>
      <c r="B608">
        <v>97.509113093181824</v>
      </c>
      <c r="O608">
        <v>1.41</v>
      </c>
      <c r="P608" s="6">
        <f t="shared" si="10"/>
        <v>0.97817222893636357</v>
      </c>
    </row>
    <row r="609" spans="1:16">
      <c r="A609">
        <v>1132</v>
      </c>
      <c r="B609">
        <v>97.511422578636385</v>
      </c>
      <c r="O609">
        <v>1.4119999999999999</v>
      </c>
      <c r="P609" s="6">
        <f t="shared" si="10"/>
        <v>0.97817774847272732</v>
      </c>
    </row>
    <row r="610" spans="1:16">
      <c r="A610">
        <v>1134</v>
      </c>
      <c r="B610">
        <v>97.513121495909104</v>
      </c>
      <c r="O610">
        <v>1.4139999999999999</v>
      </c>
      <c r="P610" s="6">
        <f t="shared" si="10"/>
        <v>0.97819836758636358</v>
      </c>
    </row>
    <row r="611" spans="1:16">
      <c r="A611">
        <v>1136</v>
      </c>
      <c r="B611">
        <v>97.517387151363621</v>
      </c>
      <c r="O611">
        <v>1.4159999999999999</v>
      </c>
      <c r="P611" s="6">
        <f t="shared" si="10"/>
        <v>0.97822564415454549</v>
      </c>
    </row>
    <row r="612" spans="1:16">
      <c r="A612">
        <v>1138</v>
      </c>
      <c r="B612">
        <v>97.51861461954546</v>
      </c>
      <c r="O612">
        <v>1.4179999999999999</v>
      </c>
      <c r="P612" s="6">
        <f t="shared" si="10"/>
        <v>0.97829194462272728</v>
      </c>
    </row>
    <row r="613" spans="1:16">
      <c r="A613">
        <v>1140</v>
      </c>
      <c r="B613">
        <v>97.518460123181811</v>
      </c>
      <c r="O613">
        <v>1.42</v>
      </c>
      <c r="P613" s="6">
        <f t="shared" si="10"/>
        <v>0.97834638559545473</v>
      </c>
    </row>
    <row r="614" spans="1:16">
      <c r="A614">
        <v>1142</v>
      </c>
      <c r="B614">
        <v>97.519693018636374</v>
      </c>
      <c r="O614">
        <v>1.4219999999999999</v>
      </c>
      <c r="P614" s="6">
        <f t="shared" si="10"/>
        <v>0.97841444359545449</v>
      </c>
    </row>
    <row r="615" spans="1:16">
      <c r="A615">
        <v>1144</v>
      </c>
      <c r="B615">
        <v>97.521206684999996</v>
      </c>
      <c r="O615">
        <v>1.4239999999999999</v>
      </c>
      <c r="P615" s="6">
        <f t="shared" si="10"/>
        <v>0.97850715860000004</v>
      </c>
    </row>
    <row r="616" spans="1:16">
      <c r="A616">
        <v>1146</v>
      </c>
      <c r="B616">
        <v>97.5221620659091</v>
      </c>
      <c r="O616">
        <v>1.4259999999999999</v>
      </c>
      <c r="P616" s="6">
        <f t="shared" si="10"/>
        <v>0.97856991144090899</v>
      </c>
    </row>
    <row r="617" spans="1:16">
      <c r="A617">
        <v>1148</v>
      </c>
      <c r="B617">
        <v>97.524518406818189</v>
      </c>
      <c r="O617">
        <v>1.4279999999999999</v>
      </c>
      <c r="P617" s="6">
        <f t="shared" si="10"/>
        <v>0.97865877398636358</v>
      </c>
    </row>
    <row r="618" spans="1:16">
      <c r="A618">
        <v>1150</v>
      </c>
      <c r="B618">
        <v>97.525159910454548</v>
      </c>
      <c r="O618">
        <v>1.43</v>
      </c>
      <c r="P618" s="6">
        <f t="shared" si="10"/>
        <v>0.97873446001818176</v>
      </c>
    </row>
    <row r="619" spans="1:16">
      <c r="A619">
        <v>1152</v>
      </c>
      <c r="B619">
        <v>97.526258842727287</v>
      </c>
      <c r="O619">
        <v>1.4319999999999999</v>
      </c>
      <c r="P619" s="6">
        <f t="shared" si="10"/>
        <v>0.97880960875</v>
      </c>
    </row>
    <row r="620" spans="1:16">
      <c r="A620">
        <v>1154</v>
      </c>
      <c r="B620">
        <v>97.52844440545455</v>
      </c>
      <c r="O620">
        <v>1.4339999999999999</v>
      </c>
      <c r="P620" s="6">
        <f t="shared" si="10"/>
        <v>0.97885214319090919</v>
      </c>
    </row>
    <row r="621" spans="1:16">
      <c r="A621">
        <v>1156</v>
      </c>
      <c r="B621">
        <v>97.531388067727264</v>
      </c>
      <c r="O621">
        <v>1.4359999999999999</v>
      </c>
      <c r="P621" s="6">
        <f t="shared" si="10"/>
        <v>0.97890864471818173</v>
      </c>
    </row>
    <row r="622" spans="1:16">
      <c r="A622">
        <v>1158</v>
      </c>
      <c r="B622">
        <v>97.531947619545463</v>
      </c>
      <c r="O622">
        <v>1.4379999999999999</v>
      </c>
      <c r="P622" s="6">
        <f t="shared" si="10"/>
        <v>0.97894754559999997</v>
      </c>
    </row>
    <row r="623" spans="1:16">
      <c r="A623">
        <v>1160</v>
      </c>
      <c r="B623">
        <v>97.534532358181835</v>
      </c>
      <c r="O623">
        <v>1.44</v>
      </c>
      <c r="P623" s="6">
        <f t="shared" si="10"/>
        <v>0.97896202646818165</v>
      </c>
    </row>
    <row r="624" spans="1:16">
      <c r="A624">
        <v>1162</v>
      </c>
      <c r="B624">
        <v>97.536950570000016</v>
      </c>
      <c r="O624">
        <v>1.4419999999999999</v>
      </c>
      <c r="P624" s="6">
        <f t="shared" si="10"/>
        <v>0.97897241698181803</v>
      </c>
    </row>
    <row r="625" spans="1:16">
      <c r="A625">
        <v>1164</v>
      </c>
      <c r="B625">
        <v>97.538358947272727</v>
      </c>
      <c r="O625">
        <v>1.444</v>
      </c>
      <c r="P625" s="6">
        <f t="shared" si="10"/>
        <v>0.97900381827727267</v>
      </c>
    </row>
    <row r="626" spans="1:16">
      <c r="A626">
        <v>1166</v>
      </c>
      <c r="B626">
        <v>97.539420702727284</v>
      </c>
      <c r="O626">
        <v>1.446</v>
      </c>
      <c r="P626" s="6">
        <f t="shared" si="10"/>
        <v>0.97904180918636352</v>
      </c>
    </row>
    <row r="627" spans="1:16">
      <c r="A627">
        <v>1168</v>
      </c>
      <c r="B627">
        <v>97.540950108181818</v>
      </c>
      <c r="O627">
        <v>1.448</v>
      </c>
      <c r="P627" s="6">
        <f t="shared" si="10"/>
        <v>0.97907641438181814</v>
      </c>
    </row>
    <row r="628" spans="1:16">
      <c r="A628">
        <v>1170</v>
      </c>
      <c r="B628">
        <v>97.543127439545444</v>
      </c>
      <c r="O628">
        <v>1.45</v>
      </c>
      <c r="P628" s="6">
        <f t="shared" si="10"/>
        <v>0.97911140400909091</v>
      </c>
    </row>
    <row r="629" spans="1:16">
      <c r="A629">
        <v>1172</v>
      </c>
      <c r="B629">
        <v>97.545933610909088</v>
      </c>
      <c r="O629">
        <v>1.452</v>
      </c>
      <c r="P629" s="6">
        <f t="shared" si="10"/>
        <v>0.97912988115909083</v>
      </c>
    </row>
    <row r="630" spans="1:16">
      <c r="A630">
        <v>1174</v>
      </c>
      <c r="B630">
        <v>97.548236945454548</v>
      </c>
      <c r="O630">
        <v>1.454</v>
      </c>
      <c r="P630" s="6">
        <f t="shared" si="10"/>
        <v>0.97916863460000014</v>
      </c>
    </row>
    <row r="631" spans="1:16">
      <c r="A631">
        <v>1176</v>
      </c>
      <c r="B631">
        <v>97.550835342727282</v>
      </c>
      <c r="O631">
        <v>1.456</v>
      </c>
      <c r="P631" s="6">
        <f t="shared" si="10"/>
        <v>0.97921680345454543</v>
      </c>
    </row>
    <row r="632" spans="1:16">
      <c r="A632">
        <v>1178</v>
      </c>
      <c r="B632">
        <v>97.552995216363641</v>
      </c>
      <c r="O632">
        <v>1.458</v>
      </c>
      <c r="P632" s="6">
        <f t="shared" si="10"/>
        <v>0.97923390388636344</v>
      </c>
    </row>
    <row r="633" spans="1:16">
      <c r="A633">
        <v>1180</v>
      </c>
      <c r="B633">
        <v>97.556745642727265</v>
      </c>
      <c r="O633">
        <v>1.46</v>
      </c>
      <c r="P633" s="6">
        <f t="shared" si="10"/>
        <v>0.97926489270909101</v>
      </c>
    </row>
    <row r="634" spans="1:16">
      <c r="A634">
        <v>1182</v>
      </c>
      <c r="B634">
        <v>97.559377508181825</v>
      </c>
      <c r="O634">
        <v>1.462</v>
      </c>
      <c r="P634" s="6">
        <f t="shared" si="10"/>
        <v>0.97929336418181823</v>
      </c>
    </row>
    <row r="635" spans="1:16">
      <c r="A635">
        <v>1184</v>
      </c>
      <c r="B635">
        <v>97.561725346363644</v>
      </c>
      <c r="O635">
        <v>1.464</v>
      </c>
      <c r="P635" s="6">
        <f t="shared" si="10"/>
        <v>0.97934196812272734</v>
      </c>
    </row>
    <row r="636" spans="1:16">
      <c r="A636">
        <v>1186</v>
      </c>
      <c r="B636">
        <v>97.563727195909095</v>
      </c>
      <c r="O636">
        <v>1.466</v>
      </c>
      <c r="P636" s="6">
        <f t="shared" si="10"/>
        <v>0.97937314418636379</v>
      </c>
    </row>
    <row r="637" spans="1:16">
      <c r="A637">
        <v>1188</v>
      </c>
      <c r="B637">
        <v>97.566259018636359</v>
      </c>
      <c r="O637">
        <v>1.468</v>
      </c>
      <c r="P637" s="6">
        <f t="shared" si="10"/>
        <v>0.97938238683181822</v>
      </c>
    </row>
    <row r="638" spans="1:16">
      <c r="A638">
        <v>1190</v>
      </c>
      <c r="B638">
        <v>97.568122834545463</v>
      </c>
      <c r="O638">
        <v>1.47</v>
      </c>
      <c r="P638" s="6">
        <f t="shared" si="10"/>
        <v>0.97940254372272717</v>
      </c>
    </row>
    <row r="639" spans="1:16">
      <c r="A639">
        <v>1192</v>
      </c>
      <c r="B639">
        <v>97.571049129545472</v>
      </c>
      <c r="O639">
        <v>1.472</v>
      </c>
      <c r="P639" s="6">
        <f t="shared" si="10"/>
        <v>0.97942418225909078</v>
      </c>
    </row>
    <row r="640" spans="1:16">
      <c r="A640">
        <v>1194</v>
      </c>
      <c r="B640">
        <v>97.575173766363619</v>
      </c>
      <c r="O640">
        <v>1.474</v>
      </c>
      <c r="P640" s="6">
        <f t="shared" si="10"/>
        <v>0.97946247619090909</v>
      </c>
    </row>
    <row r="641" spans="1:16">
      <c r="A641">
        <v>1196</v>
      </c>
      <c r="B641">
        <v>97.578017204999995</v>
      </c>
      <c r="O641">
        <v>1.476</v>
      </c>
      <c r="P641" s="6">
        <f t="shared" si="10"/>
        <v>0.9794808466045456</v>
      </c>
    </row>
    <row r="642" spans="1:16">
      <c r="A642">
        <v>1198</v>
      </c>
      <c r="B642">
        <v>97.579127534545464</v>
      </c>
      <c r="O642">
        <v>1.478</v>
      </c>
      <c r="P642" s="6">
        <f t="shared" si="10"/>
        <v>0.97948966139999993</v>
      </c>
    </row>
    <row r="643" spans="1:16">
      <c r="A643">
        <v>1200</v>
      </c>
      <c r="B643">
        <v>97.580936082727263</v>
      </c>
      <c r="O643">
        <v>1.48</v>
      </c>
      <c r="P643" s="6">
        <f t="shared" si="10"/>
        <v>0.97952888249090919</v>
      </c>
    </row>
    <row r="644" spans="1:16">
      <c r="A644">
        <v>1202</v>
      </c>
      <c r="B644">
        <v>97.581557957727284</v>
      </c>
      <c r="O644">
        <v>1.482</v>
      </c>
      <c r="P644" s="6">
        <f t="shared" ref="P644:P707" si="11">B784/100</f>
        <v>0.9795627938999999</v>
      </c>
    </row>
    <row r="645" spans="1:16">
      <c r="A645">
        <v>1204</v>
      </c>
      <c r="B645">
        <v>97.581977757272725</v>
      </c>
      <c r="O645">
        <v>1.484</v>
      </c>
      <c r="P645" s="6">
        <f t="shared" si="11"/>
        <v>0.97958681048636365</v>
      </c>
    </row>
    <row r="646" spans="1:16">
      <c r="A646">
        <v>1206</v>
      </c>
      <c r="B646">
        <v>97.583513765909103</v>
      </c>
      <c r="O646">
        <v>1.486</v>
      </c>
      <c r="P646" s="6">
        <f t="shared" si="11"/>
        <v>0.97960590905909084</v>
      </c>
    </row>
    <row r="647" spans="1:16">
      <c r="A647">
        <v>1208</v>
      </c>
      <c r="B647">
        <v>97.58596390818181</v>
      </c>
      <c r="O647">
        <v>1.488</v>
      </c>
      <c r="P647" s="6">
        <f t="shared" si="11"/>
        <v>0.97961214409090902</v>
      </c>
    </row>
    <row r="648" spans="1:16">
      <c r="A648">
        <v>1210</v>
      </c>
      <c r="B648">
        <v>97.589075815909098</v>
      </c>
      <c r="O648">
        <v>1.49</v>
      </c>
      <c r="P648" s="6">
        <f t="shared" si="11"/>
        <v>0.97964006831363637</v>
      </c>
    </row>
    <row r="649" spans="1:16">
      <c r="A649">
        <v>1212</v>
      </c>
      <c r="B649">
        <v>97.593224061363642</v>
      </c>
      <c r="O649">
        <v>1.492</v>
      </c>
      <c r="P649" s="6">
        <f t="shared" si="11"/>
        <v>0.97966443405454551</v>
      </c>
    </row>
    <row r="650" spans="1:16">
      <c r="A650">
        <v>1214</v>
      </c>
      <c r="B650">
        <v>97.595747652727269</v>
      </c>
      <c r="O650">
        <v>1.494</v>
      </c>
      <c r="P650" s="6">
        <f t="shared" si="11"/>
        <v>0.97967316020454531</v>
      </c>
    </row>
    <row r="651" spans="1:16">
      <c r="A651">
        <v>1216</v>
      </c>
      <c r="B651">
        <v>97.597484741818192</v>
      </c>
      <c r="O651">
        <v>1.496</v>
      </c>
      <c r="P651" s="6">
        <f t="shared" si="11"/>
        <v>0.97968476552272732</v>
      </c>
    </row>
    <row r="652" spans="1:16">
      <c r="A652">
        <v>1218</v>
      </c>
      <c r="B652">
        <v>97.600150889545446</v>
      </c>
      <c r="O652">
        <v>1.498</v>
      </c>
      <c r="P652" s="6">
        <f t="shared" si="11"/>
        <v>0.97970351855909088</v>
      </c>
    </row>
    <row r="653" spans="1:16">
      <c r="A653">
        <v>1220</v>
      </c>
      <c r="B653">
        <v>97.602882616818192</v>
      </c>
      <c r="O653">
        <v>1.5</v>
      </c>
      <c r="P653" s="6">
        <f t="shared" si="11"/>
        <v>0.97972264698181799</v>
      </c>
    </row>
    <row r="654" spans="1:16">
      <c r="A654">
        <v>1222</v>
      </c>
      <c r="B654">
        <v>97.605206936818178</v>
      </c>
      <c r="O654">
        <v>1.502</v>
      </c>
      <c r="P654" s="6">
        <f t="shared" si="11"/>
        <v>0.97972050954090906</v>
      </c>
    </row>
    <row r="655" spans="1:16">
      <c r="A655">
        <v>1224</v>
      </c>
      <c r="B655">
        <v>97.608377097272736</v>
      </c>
      <c r="O655">
        <v>1.504</v>
      </c>
      <c r="P655" s="6">
        <f t="shared" si="11"/>
        <v>0.97973808485909075</v>
      </c>
    </row>
    <row r="656" spans="1:16">
      <c r="A656">
        <v>1226</v>
      </c>
      <c r="B656">
        <v>97.611674255909094</v>
      </c>
      <c r="O656">
        <v>1.506</v>
      </c>
      <c r="P656" s="6">
        <f t="shared" si="11"/>
        <v>0.97974643743181788</v>
      </c>
    </row>
    <row r="657" spans="1:16">
      <c r="A657">
        <v>1228</v>
      </c>
      <c r="B657">
        <v>97.615393837272734</v>
      </c>
      <c r="O657">
        <v>1.508</v>
      </c>
      <c r="P657" s="6">
        <f t="shared" si="11"/>
        <v>0.97975633406363627</v>
      </c>
    </row>
    <row r="658" spans="1:16">
      <c r="A658">
        <v>1230</v>
      </c>
      <c r="B658">
        <v>97.619077146363651</v>
      </c>
      <c r="O658">
        <v>1.51</v>
      </c>
      <c r="P658" s="6">
        <f t="shared" si="11"/>
        <v>0.97978765123636369</v>
      </c>
    </row>
    <row r="659" spans="1:16">
      <c r="A659">
        <v>1232</v>
      </c>
      <c r="B659">
        <v>97.620418134999994</v>
      </c>
      <c r="O659">
        <v>1.512</v>
      </c>
      <c r="P659" s="6">
        <f t="shared" si="11"/>
        <v>0.9798077800863636</v>
      </c>
    </row>
    <row r="660" spans="1:16">
      <c r="A660">
        <v>1234</v>
      </c>
      <c r="B660">
        <v>97.621890644545445</v>
      </c>
      <c r="O660">
        <v>1.514</v>
      </c>
      <c r="P660" s="6">
        <f t="shared" si="11"/>
        <v>0.97983245880000014</v>
      </c>
    </row>
    <row r="661" spans="1:16">
      <c r="A661">
        <v>1236</v>
      </c>
      <c r="B661">
        <v>97.625076725</v>
      </c>
      <c r="O661">
        <v>1.516</v>
      </c>
      <c r="P661" s="6">
        <f t="shared" si="11"/>
        <v>0.97986957591818191</v>
      </c>
    </row>
    <row r="662" spans="1:16">
      <c r="A662">
        <v>1238</v>
      </c>
      <c r="B662">
        <v>97.62785277499998</v>
      </c>
      <c r="O662">
        <v>1.518</v>
      </c>
      <c r="P662" s="6">
        <f t="shared" si="11"/>
        <v>0.97989505967727253</v>
      </c>
    </row>
    <row r="663" spans="1:16">
      <c r="A663">
        <v>1240</v>
      </c>
      <c r="B663">
        <v>97.630360627272722</v>
      </c>
      <c r="O663">
        <v>1.52</v>
      </c>
      <c r="P663" s="6">
        <f t="shared" si="11"/>
        <v>0.97990817920454543</v>
      </c>
    </row>
    <row r="664" spans="1:16">
      <c r="A664">
        <v>1242</v>
      </c>
      <c r="B664">
        <v>97.633084484999998</v>
      </c>
      <c r="O664">
        <v>1.522</v>
      </c>
      <c r="P664" s="6">
        <f t="shared" si="11"/>
        <v>0.97992070444545465</v>
      </c>
    </row>
    <row r="665" spans="1:16">
      <c r="A665">
        <v>1244</v>
      </c>
      <c r="B665">
        <v>97.635507943181807</v>
      </c>
      <c r="O665">
        <v>1.524</v>
      </c>
      <c r="P665" s="6">
        <f t="shared" si="11"/>
        <v>0.97996019509090915</v>
      </c>
    </row>
    <row r="666" spans="1:16">
      <c r="A666">
        <v>1246</v>
      </c>
      <c r="B666">
        <v>97.637444665454552</v>
      </c>
      <c r="O666">
        <v>1.526</v>
      </c>
      <c r="P666" s="6">
        <f t="shared" si="11"/>
        <v>0.97998919662727291</v>
      </c>
    </row>
    <row r="667" spans="1:16">
      <c r="A667">
        <v>1248</v>
      </c>
      <c r="B667">
        <v>97.639677807272733</v>
      </c>
      <c r="O667">
        <v>1.528</v>
      </c>
      <c r="P667" s="6">
        <f t="shared" si="11"/>
        <v>0.98002031751363627</v>
      </c>
    </row>
    <row r="668" spans="1:16">
      <c r="A668">
        <v>1250</v>
      </c>
      <c r="B668">
        <v>97.642177699545442</v>
      </c>
      <c r="O668">
        <v>1.53</v>
      </c>
      <c r="P668" s="6">
        <f t="shared" si="11"/>
        <v>0.98004843259545449</v>
      </c>
    </row>
    <row r="669" spans="1:16">
      <c r="A669">
        <v>1252</v>
      </c>
      <c r="B669">
        <v>97.644403876363626</v>
      </c>
      <c r="O669">
        <v>1.532</v>
      </c>
      <c r="P669" s="6">
        <f t="shared" si="11"/>
        <v>0.98007748388181792</v>
      </c>
    </row>
    <row r="670" spans="1:16">
      <c r="A670">
        <v>1254</v>
      </c>
      <c r="B670">
        <v>97.648790288636391</v>
      </c>
      <c r="O670">
        <v>1.534</v>
      </c>
      <c r="P670" s="6">
        <f t="shared" si="11"/>
        <v>0.9800944766727272</v>
      </c>
    </row>
    <row r="671" spans="1:16">
      <c r="A671">
        <v>1256</v>
      </c>
      <c r="B671">
        <v>97.651891974999998</v>
      </c>
      <c r="O671">
        <v>1.536</v>
      </c>
      <c r="P671" s="6">
        <f t="shared" si="11"/>
        <v>0.98010902628636354</v>
      </c>
    </row>
    <row r="672" spans="1:16">
      <c r="A672">
        <v>1258</v>
      </c>
      <c r="B672">
        <v>97.653196691363632</v>
      </c>
      <c r="O672">
        <v>1.538</v>
      </c>
      <c r="P672" s="6">
        <f t="shared" si="11"/>
        <v>0.98012846135000009</v>
      </c>
    </row>
    <row r="673" spans="1:16">
      <c r="A673">
        <v>1260</v>
      </c>
      <c r="B673">
        <v>97.655530147272728</v>
      </c>
      <c r="O673">
        <v>1.54</v>
      </c>
      <c r="P673" s="6">
        <f t="shared" si="11"/>
        <v>0.98015897619090919</v>
      </c>
    </row>
    <row r="674" spans="1:16">
      <c r="A674">
        <v>1262</v>
      </c>
      <c r="B674">
        <v>97.65854734909091</v>
      </c>
      <c r="O674">
        <v>1.542</v>
      </c>
      <c r="P674" s="6">
        <f t="shared" si="11"/>
        <v>0.98019519328636362</v>
      </c>
    </row>
    <row r="675" spans="1:16">
      <c r="A675">
        <v>1264</v>
      </c>
      <c r="B675">
        <v>97.662333414545444</v>
      </c>
      <c r="O675">
        <v>1.544</v>
      </c>
      <c r="P675" s="6">
        <f t="shared" si="11"/>
        <v>0.98023819718636374</v>
      </c>
    </row>
    <row r="676" spans="1:16">
      <c r="A676">
        <v>1266</v>
      </c>
      <c r="B676">
        <v>97.666569672272715</v>
      </c>
      <c r="O676">
        <v>1.546</v>
      </c>
      <c r="P676" s="6">
        <f t="shared" si="11"/>
        <v>0.98026482248181823</v>
      </c>
    </row>
    <row r="677" spans="1:16">
      <c r="A677">
        <v>1268</v>
      </c>
      <c r="B677">
        <v>97.67030218863637</v>
      </c>
      <c r="O677">
        <v>1.548</v>
      </c>
      <c r="P677" s="6">
        <f t="shared" si="11"/>
        <v>0.98027365175000003</v>
      </c>
    </row>
    <row r="678" spans="1:16">
      <c r="A678">
        <v>1270</v>
      </c>
      <c r="B678">
        <v>97.673862750909109</v>
      </c>
      <c r="O678">
        <v>1.55</v>
      </c>
      <c r="P678" s="6">
        <f t="shared" si="11"/>
        <v>0.98028864549545447</v>
      </c>
    </row>
    <row r="679" spans="1:16">
      <c r="A679">
        <v>1272</v>
      </c>
      <c r="B679">
        <v>97.675877897272741</v>
      </c>
      <c r="O679">
        <v>1.552</v>
      </c>
      <c r="P679" s="6">
        <f t="shared" si="11"/>
        <v>0.9803117132136363</v>
      </c>
    </row>
    <row r="680" spans="1:16">
      <c r="A680">
        <v>1274</v>
      </c>
      <c r="B680">
        <v>97.678430705454545</v>
      </c>
      <c r="O680">
        <v>1.554</v>
      </c>
      <c r="P680" s="6">
        <f t="shared" si="11"/>
        <v>0.98032563597727262</v>
      </c>
    </row>
    <row r="681" spans="1:16">
      <c r="A681">
        <v>1276</v>
      </c>
      <c r="B681">
        <v>97.680130979545467</v>
      </c>
      <c r="O681">
        <v>1.556</v>
      </c>
      <c r="P681" s="6">
        <f t="shared" si="11"/>
        <v>0.98036074229090897</v>
      </c>
    </row>
    <row r="682" spans="1:16">
      <c r="A682">
        <v>1278</v>
      </c>
      <c r="B682">
        <v>97.68289925045454</v>
      </c>
      <c r="O682">
        <v>1.5580000000000001</v>
      </c>
      <c r="P682" s="6">
        <f t="shared" si="11"/>
        <v>0.9803938088545453</v>
      </c>
    </row>
    <row r="683" spans="1:16">
      <c r="A683">
        <v>1280</v>
      </c>
      <c r="B683">
        <v>97.686503502272728</v>
      </c>
      <c r="O683">
        <v>1.56</v>
      </c>
      <c r="P683" s="6">
        <f t="shared" si="11"/>
        <v>0.98041518688181806</v>
      </c>
    </row>
    <row r="684" spans="1:16">
      <c r="A684">
        <v>1282</v>
      </c>
      <c r="B684">
        <v>97.689103256363651</v>
      </c>
      <c r="O684">
        <v>1.5620000000000001</v>
      </c>
      <c r="P684" s="6">
        <f t="shared" si="11"/>
        <v>0.98042932492727264</v>
      </c>
    </row>
    <row r="685" spans="1:16">
      <c r="A685">
        <v>1284</v>
      </c>
      <c r="B685">
        <v>97.691361635000021</v>
      </c>
      <c r="O685">
        <v>1.5640000000000001</v>
      </c>
      <c r="P685" s="6">
        <f t="shared" si="11"/>
        <v>0.98043953634090897</v>
      </c>
    </row>
    <row r="686" spans="1:16">
      <c r="A686">
        <v>1286</v>
      </c>
      <c r="B686">
        <v>97.693931086818196</v>
      </c>
      <c r="O686">
        <v>1.5660000000000001</v>
      </c>
      <c r="P686" s="6">
        <f t="shared" si="11"/>
        <v>0.98044866682272713</v>
      </c>
    </row>
    <row r="687" spans="1:16">
      <c r="A687">
        <v>1288</v>
      </c>
      <c r="B687">
        <v>97.695992455454544</v>
      </c>
      <c r="O687">
        <v>1.5680000000000001</v>
      </c>
      <c r="P687" s="6">
        <f t="shared" si="11"/>
        <v>0.98044655380454526</v>
      </c>
    </row>
    <row r="688" spans="1:16">
      <c r="A688">
        <v>1290</v>
      </c>
      <c r="B688">
        <v>97.697736328636353</v>
      </c>
      <c r="O688">
        <v>1.57</v>
      </c>
      <c r="P688" s="6">
        <f t="shared" si="11"/>
        <v>0.98046096864090915</v>
      </c>
    </row>
    <row r="689" spans="1:16">
      <c r="A689">
        <v>1292</v>
      </c>
      <c r="B689">
        <v>97.699976435454545</v>
      </c>
      <c r="O689">
        <v>1.5720000000000001</v>
      </c>
      <c r="P689" s="6">
        <f t="shared" si="11"/>
        <v>0.98048794490000024</v>
      </c>
    </row>
    <row r="690" spans="1:16">
      <c r="A690">
        <v>1294</v>
      </c>
      <c r="B690">
        <v>97.703437497727293</v>
      </c>
      <c r="O690">
        <v>1.5740000000000001</v>
      </c>
      <c r="P690" s="6">
        <f t="shared" si="11"/>
        <v>0.9805016053454545</v>
      </c>
    </row>
    <row r="691" spans="1:16">
      <c r="A691">
        <v>1296</v>
      </c>
      <c r="B691">
        <v>97.705448845000021</v>
      </c>
      <c r="O691">
        <v>1.5760000000000001</v>
      </c>
      <c r="P691" s="6">
        <f t="shared" si="11"/>
        <v>0.98050538724999992</v>
      </c>
    </row>
    <row r="692" spans="1:16">
      <c r="A692">
        <v>1298</v>
      </c>
      <c r="B692">
        <v>97.70819603999999</v>
      </c>
      <c r="O692">
        <v>1.5780000000000001</v>
      </c>
      <c r="P692" s="6">
        <f t="shared" si="11"/>
        <v>0.98050952645000011</v>
      </c>
    </row>
    <row r="693" spans="1:16">
      <c r="A693">
        <v>1300</v>
      </c>
      <c r="B693">
        <v>97.712441524090892</v>
      </c>
      <c r="O693">
        <v>1.58</v>
      </c>
      <c r="P693" s="6">
        <f t="shared" si="11"/>
        <v>0.98052656718181808</v>
      </c>
    </row>
    <row r="694" spans="1:16">
      <c r="A694">
        <v>1302</v>
      </c>
      <c r="B694">
        <v>97.714711390454539</v>
      </c>
      <c r="O694">
        <v>1.5820000000000001</v>
      </c>
      <c r="P694" s="6">
        <f t="shared" si="11"/>
        <v>0.98053663929545454</v>
      </c>
    </row>
    <row r="695" spans="1:16">
      <c r="A695">
        <v>1304</v>
      </c>
      <c r="B695">
        <v>97.716396739545459</v>
      </c>
      <c r="O695">
        <v>1.5840000000000001</v>
      </c>
      <c r="P695" s="6">
        <f t="shared" si="11"/>
        <v>0.9805475363545455</v>
      </c>
    </row>
    <row r="696" spans="1:16">
      <c r="A696">
        <v>1306</v>
      </c>
      <c r="B696">
        <v>97.718955427272718</v>
      </c>
      <c r="O696">
        <v>1.5860000000000001</v>
      </c>
      <c r="P696" s="6">
        <f t="shared" si="11"/>
        <v>0.9805723652227275</v>
      </c>
    </row>
    <row r="697" spans="1:16">
      <c r="A697">
        <v>1308</v>
      </c>
      <c r="B697">
        <v>97.720782518636355</v>
      </c>
      <c r="O697">
        <v>1.5880000000000001</v>
      </c>
      <c r="P697" s="6">
        <f t="shared" si="11"/>
        <v>0.98059646774090903</v>
      </c>
    </row>
    <row r="698" spans="1:16">
      <c r="A698">
        <v>1310</v>
      </c>
      <c r="B698">
        <v>97.723386795454545</v>
      </c>
      <c r="O698">
        <v>1.59</v>
      </c>
      <c r="P698" s="6">
        <f t="shared" si="11"/>
        <v>0.98062808070000007</v>
      </c>
    </row>
    <row r="699" spans="1:16">
      <c r="A699">
        <v>1312</v>
      </c>
      <c r="B699">
        <v>97.72547765227273</v>
      </c>
      <c r="O699">
        <v>1.5920000000000001</v>
      </c>
      <c r="P699" s="6">
        <f t="shared" si="11"/>
        <v>0.98066488484545455</v>
      </c>
    </row>
    <row r="700" spans="1:16">
      <c r="A700">
        <v>1314</v>
      </c>
      <c r="B700">
        <v>97.72810843227272</v>
      </c>
      <c r="O700">
        <v>1.5940000000000001</v>
      </c>
      <c r="P700" s="6">
        <f t="shared" si="11"/>
        <v>0.98068972095000007</v>
      </c>
    </row>
    <row r="701" spans="1:16">
      <c r="A701">
        <v>1316</v>
      </c>
      <c r="B701">
        <v>97.730665582272721</v>
      </c>
      <c r="O701">
        <v>1.5960000000000001</v>
      </c>
      <c r="P701" s="6">
        <f t="shared" si="11"/>
        <v>0.9807266209772727</v>
      </c>
    </row>
    <row r="702" spans="1:16">
      <c r="A702">
        <v>1318</v>
      </c>
      <c r="B702">
        <v>97.73364642136363</v>
      </c>
      <c r="O702">
        <v>1.5980000000000001</v>
      </c>
      <c r="P702" s="6">
        <f t="shared" si="11"/>
        <v>0.98077690194545464</v>
      </c>
    </row>
    <row r="703" spans="1:16">
      <c r="A703">
        <v>1320</v>
      </c>
      <c r="B703">
        <v>97.737011511363633</v>
      </c>
      <c r="O703">
        <v>1.6</v>
      </c>
      <c r="P703" s="6">
        <f t="shared" si="11"/>
        <v>0.98080973061363641</v>
      </c>
    </row>
    <row r="704" spans="1:16">
      <c r="A704">
        <v>1322</v>
      </c>
      <c r="B704">
        <v>97.739392365454535</v>
      </c>
      <c r="O704">
        <v>1.6020000000000001</v>
      </c>
      <c r="P704" s="6">
        <f t="shared" si="11"/>
        <v>0.98082327256363644</v>
      </c>
    </row>
    <row r="705" spans="1:16">
      <c r="A705">
        <v>1324</v>
      </c>
      <c r="B705">
        <v>97.740952796818192</v>
      </c>
      <c r="O705">
        <v>1.6040000000000001</v>
      </c>
      <c r="P705" s="6">
        <f t="shared" si="11"/>
        <v>0.98083761865454533</v>
      </c>
    </row>
    <row r="706" spans="1:16">
      <c r="A706">
        <v>1326</v>
      </c>
      <c r="B706">
        <v>97.743528851818184</v>
      </c>
      <c r="O706">
        <v>1.6060000000000001</v>
      </c>
      <c r="P706" s="6">
        <f t="shared" si="11"/>
        <v>0.98085438621363641</v>
      </c>
    </row>
    <row r="707" spans="1:16">
      <c r="A707">
        <v>1328</v>
      </c>
      <c r="B707">
        <v>97.746506886818196</v>
      </c>
      <c r="O707">
        <v>1.6080000000000001</v>
      </c>
      <c r="P707" s="6">
        <f t="shared" si="11"/>
        <v>0.98087017053181791</v>
      </c>
    </row>
    <row r="708" spans="1:16">
      <c r="A708">
        <v>1330</v>
      </c>
      <c r="B708">
        <v>97.750280288636361</v>
      </c>
      <c r="O708">
        <v>1.61</v>
      </c>
      <c r="P708" s="6">
        <f t="shared" ref="P708:P771" si="12">B848/100</f>
        <v>0.98089267290909077</v>
      </c>
    </row>
    <row r="709" spans="1:16">
      <c r="A709">
        <v>1332</v>
      </c>
      <c r="B709">
        <v>97.752517681818176</v>
      </c>
      <c r="O709">
        <v>1.6120000000000001</v>
      </c>
      <c r="P709" s="6">
        <f t="shared" si="12"/>
        <v>0.98090839300454535</v>
      </c>
    </row>
    <row r="710" spans="1:16">
      <c r="A710">
        <v>1334</v>
      </c>
      <c r="B710">
        <v>97.756358110454528</v>
      </c>
      <c r="O710">
        <v>1.6140000000000001</v>
      </c>
      <c r="P710" s="6">
        <f t="shared" si="12"/>
        <v>0.98091506312272725</v>
      </c>
    </row>
    <row r="711" spans="1:16">
      <c r="A711">
        <v>1336</v>
      </c>
      <c r="B711">
        <v>97.759405252727262</v>
      </c>
      <c r="O711">
        <v>1.6160000000000001</v>
      </c>
      <c r="P711" s="6">
        <f t="shared" si="12"/>
        <v>0.9809234202181818</v>
      </c>
    </row>
    <row r="712" spans="1:16">
      <c r="A712">
        <v>1338</v>
      </c>
      <c r="B712">
        <v>97.76169194363635</v>
      </c>
      <c r="O712">
        <v>1.6180000000000001</v>
      </c>
      <c r="P712" s="6">
        <f t="shared" si="12"/>
        <v>0.98093177912272722</v>
      </c>
    </row>
    <row r="713" spans="1:16">
      <c r="A713">
        <v>1340</v>
      </c>
      <c r="B713">
        <v>97.763800258181817</v>
      </c>
      <c r="O713">
        <v>1.62</v>
      </c>
      <c r="P713" s="6">
        <f t="shared" si="12"/>
        <v>0.98094213074090897</v>
      </c>
    </row>
    <row r="714" spans="1:16">
      <c r="A714">
        <v>1342</v>
      </c>
      <c r="B714">
        <v>97.766886838636353</v>
      </c>
      <c r="O714">
        <v>1.6220000000000001</v>
      </c>
      <c r="P714" s="6">
        <f t="shared" si="12"/>
        <v>0.98095811496363627</v>
      </c>
    </row>
    <row r="715" spans="1:16">
      <c r="A715">
        <v>1344</v>
      </c>
      <c r="B715">
        <v>97.768653325454551</v>
      </c>
      <c r="O715">
        <v>1.6240000000000001</v>
      </c>
      <c r="P715" s="6">
        <f t="shared" si="12"/>
        <v>0.98098853844545442</v>
      </c>
    </row>
    <row r="716" spans="1:16">
      <c r="A716">
        <v>1346</v>
      </c>
      <c r="B716">
        <v>97.772834948636358</v>
      </c>
      <c r="O716">
        <v>1.6259999999999999</v>
      </c>
      <c r="P716" s="6">
        <f t="shared" si="12"/>
        <v>0.98102267146818189</v>
      </c>
    </row>
    <row r="717" spans="1:16">
      <c r="A717">
        <v>1348</v>
      </c>
      <c r="B717">
        <v>97.775472150909081</v>
      </c>
      <c r="O717">
        <v>1.6279999999999999</v>
      </c>
      <c r="P717" s="6">
        <f t="shared" si="12"/>
        <v>0.98104700193181826</v>
      </c>
    </row>
    <row r="718" spans="1:16">
      <c r="A718">
        <v>1350</v>
      </c>
      <c r="B718">
        <v>97.777523117272722</v>
      </c>
      <c r="O718">
        <v>1.63</v>
      </c>
      <c r="P718" s="6">
        <f t="shared" si="12"/>
        <v>0.98105849508636367</v>
      </c>
    </row>
    <row r="719" spans="1:16">
      <c r="A719">
        <v>1352</v>
      </c>
      <c r="B719">
        <v>97.778695950909082</v>
      </c>
      <c r="O719">
        <v>1.6319999999999999</v>
      </c>
      <c r="P719" s="6">
        <f t="shared" si="12"/>
        <v>0.98106243438181839</v>
      </c>
    </row>
    <row r="720" spans="1:16">
      <c r="A720">
        <v>1354</v>
      </c>
      <c r="B720">
        <v>97.781166716818163</v>
      </c>
      <c r="O720">
        <v>1.6339999999999999</v>
      </c>
      <c r="P720" s="6">
        <f t="shared" si="12"/>
        <v>0.98107139119090914</v>
      </c>
    </row>
    <row r="721" spans="1:16">
      <c r="A721">
        <v>1356</v>
      </c>
      <c r="B721">
        <v>97.783040663636342</v>
      </c>
      <c r="O721">
        <v>1.6359999999999999</v>
      </c>
      <c r="P721" s="6">
        <f t="shared" si="12"/>
        <v>0.98108137104090942</v>
      </c>
    </row>
    <row r="722" spans="1:16">
      <c r="A722">
        <v>1358</v>
      </c>
      <c r="B722">
        <v>97.784917595454544</v>
      </c>
      <c r="O722">
        <v>1.6379999999999999</v>
      </c>
      <c r="P722" s="6">
        <f t="shared" si="12"/>
        <v>0.98108786025000028</v>
      </c>
    </row>
    <row r="723" spans="1:16">
      <c r="A723">
        <v>1360</v>
      </c>
      <c r="B723">
        <v>97.78718673818183</v>
      </c>
      <c r="O723">
        <v>1.64</v>
      </c>
      <c r="P723" s="6">
        <f t="shared" si="12"/>
        <v>0.98109205643636388</v>
      </c>
    </row>
    <row r="724" spans="1:16">
      <c r="A724">
        <v>1362</v>
      </c>
      <c r="B724">
        <v>97.789205502727285</v>
      </c>
      <c r="O724">
        <v>1.6419999999999999</v>
      </c>
      <c r="P724" s="6">
        <f t="shared" si="12"/>
        <v>0.98109174346363648</v>
      </c>
    </row>
    <row r="725" spans="1:16">
      <c r="A725">
        <v>1364</v>
      </c>
      <c r="B725">
        <v>97.79003207636363</v>
      </c>
      <c r="O725">
        <v>1.6439999999999999</v>
      </c>
      <c r="P725" s="6">
        <f t="shared" si="12"/>
        <v>0.98109725666818193</v>
      </c>
    </row>
    <row r="726" spans="1:16">
      <c r="A726">
        <v>1366</v>
      </c>
      <c r="B726">
        <v>97.79167925363636</v>
      </c>
      <c r="O726">
        <v>1.6459999999999999</v>
      </c>
      <c r="P726" s="6">
        <f t="shared" si="12"/>
        <v>0.98110795834545439</v>
      </c>
    </row>
    <row r="727" spans="1:16">
      <c r="A727">
        <v>1368</v>
      </c>
      <c r="B727">
        <v>97.793119832727285</v>
      </c>
      <c r="O727">
        <v>1.6479999999999999</v>
      </c>
      <c r="P727" s="6">
        <f t="shared" si="12"/>
        <v>0.98111804764545441</v>
      </c>
    </row>
    <row r="728" spans="1:16">
      <c r="A728">
        <v>1370</v>
      </c>
      <c r="B728">
        <v>97.796783875000003</v>
      </c>
      <c r="O728">
        <v>1.65</v>
      </c>
      <c r="P728" s="6">
        <f t="shared" si="12"/>
        <v>0.98112703159090908</v>
      </c>
    </row>
    <row r="729" spans="1:16">
      <c r="A729">
        <v>1372</v>
      </c>
      <c r="B729">
        <v>97.801196971363638</v>
      </c>
      <c r="O729">
        <v>1.6519999999999999</v>
      </c>
      <c r="P729" s="6">
        <f t="shared" si="12"/>
        <v>0.98114617900909085</v>
      </c>
    </row>
    <row r="730" spans="1:16">
      <c r="A730">
        <v>1374</v>
      </c>
      <c r="B730">
        <v>97.805153814999997</v>
      </c>
      <c r="O730">
        <v>1.6539999999999999</v>
      </c>
      <c r="P730" s="6">
        <f t="shared" si="12"/>
        <v>0.9811695624136364</v>
      </c>
    </row>
    <row r="731" spans="1:16">
      <c r="A731">
        <v>1376</v>
      </c>
      <c r="B731">
        <v>97.808298286363623</v>
      </c>
      <c r="O731">
        <v>1.6559999999999999</v>
      </c>
      <c r="P731" s="6">
        <f t="shared" si="12"/>
        <v>0.98119486164545444</v>
      </c>
    </row>
    <row r="732" spans="1:16">
      <c r="A732">
        <v>1378</v>
      </c>
      <c r="B732">
        <v>97.81226652727274</v>
      </c>
      <c r="O732">
        <v>1.6579999999999999</v>
      </c>
      <c r="P732" s="6">
        <f t="shared" si="12"/>
        <v>0.9812215511636363</v>
      </c>
    </row>
    <row r="733" spans="1:16">
      <c r="A733">
        <v>1380</v>
      </c>
      <c r="B733">
        <v>97.814364801363652</v>
      </c>
      <c r="O733">
        <v>1.66</v>
      </c>
      <c r="P733" s="6">
        <f t="shared" si="12"/>
        <v>0.98124897155454549</v>
      </c>
    </row>
    <row r="734" spans="1:16">
      <c r="A734">
        <v>1382</v>
      </c>
      <c r="B734">
        <v>97.818050733636355</v>
      </c>
      <c r="O734">
        <v>1.6619999999999999</v>
      </c>
      <c r="P734" s="6">
        <f t="shared" si="12"/>
        <v>0.98127677909090916</v>
      </c>
    </row>
    <row r="735" spans="1:16">
      <c r="A735">
        <v>1384</v>
      </c>
      <c r="B735">
        <v>97.823136450000007</v>
      </c>
      <c r="O735">
        <v>1.6639999999999999</v>
      </c>
      <c r="P735" s="6">
        <f t="shared" si="12"/>
        <v>0.98130182233636376</v>
      </c>
    </row>
    <row r="736" spans="1:16">
      <c r="A736">
        <v>1386</v>
      </c>
      <c r="B736">
        <v>97.826366672272712</v>
      </c>
      <c r="O736">
        <v>1.6659999999999999</v>
      </c>
      <c r="P736" s="6">
        <f t="shared" si="12"/>
        <v>0.98132383264090917</v>
      </c>
    </row>
    <row r="737" spans="1:16">
      <c r="A737">
        <v>1388</v>
      </c>
      <c r="B737">
        <v>97.830379235909078</v>
      </c>
      <c r="O737">
        <v>1.6679999999999999</v>
      </c>
      <c r="P737" s="6">
        <f t="shared" si="12"/>
        <v>0.98133375098181796</v>
      </c>
    </row>
    <row r="738" spans="1:16">
      <c r="A738">
        <v>1390</v>
      </c>
      <c r="B738">
        <v>97.833249629999997</v>
      </c>
      <c r="O738">
        <v>1.67</v>
      </c>
      <c r="P738" s="6">
        <f t="shared" si="12"/>
        <v>0.98135039009545466</v>
      </c>
    </row>
    <row r="739" spans="1:16">
      <c r="A739">
        <v>1392</v>
      </c>
      <c r="B739">
        <v>97.834236941363628</v>
      </c>
      <c r="O739">
        <v>1.6719999999999999</v>
      </c>
      <c r="P739" s="6">
        <f t="shared" si="12"/>
        <v>0.98136974194090909</v>
      </c>
    </row>
    <row r="740" spans="1:16">
      <c r="A740">
        <v>1394</v>
      </c>
      <c r="B740">
        <v>97.833399151363622</v>
      </c>
      <c r="O740">
        <v>1.6739999999999999</v>
      </c>
      <c r="P740" s="6">
        <f t="shared" si="12"/>
        <v>0.98139642603181831</v>
      </c>
    </row>
    <row r="741" spans="1:16">
      <c r="A741">
        <v>1396</v>
      </c>
      <c r="B741">
        <v>97.832855067272746</v>
      </c>
      <c r="O741">
        <v>1.6759999999999999</v>
      </c>
      <c r="P741" s="6">
        <f t="shared" si="12"/>
        <v>0.98141638573181822</v>
      </c>
    </row>
    <row r="742" spans="1:16">
      <c r="A742">
        <v>1398</v>
      </c>
      <c r="B742">
        <v>97.83322846363636</v>
      </c>
      <c r="O742">
        <v>1.6779999999999999</v>
      </c>
      <c r="P742" s="6">
        <f t="shared" si="12"/>
        <v>0.98142258910454527</v>
      </c>
    </row>
    <row r="743" spans="1:16">
      <c r="A743">
        <v>1400</v>
      </c>
      <c r="B743">
        <v>97.830591080454525</v>
      </c>
      <c r="O743">
        <v>1.68</v>
      </c>
      <c r="P743" s="6">
        <f t="shared" si="12"/>
        <v>0.98143416004999995</v>
      </c>
    </row>
    <row r="744" spans="1:16">
      <c r="A744">
        <v>1402</v>
      </c>
      <c r="B744">
        <v>97.827335440454547</v>
      </c>
      <c r="O744">
        <v>1.6819999999999999</v>
      </c>
      <c r="P744" s="6">
        <f t="shared" si="12"/>
        <v>0.98145122610909086</v>
      </c>
    </row>
    <row r="745" spans="1:16">
      <c r="A745">
        <v>1404</v>
      </c>
      <c r="B745">
        <v>97.825419341818176</v>
      </c>
      <c r="O745">
        <v>1.6839999999999999</v>
      </c>
      <c r="P745" s="6">
        <f t="shared" si="12"/>
        <v>0.98145715449999993</v>
      </c>
    </row>
    <row r="746" spans="1:16">
      <c r="A746">
        <v>1406</v>
      </c>
      <c r="B746">
        <v>97.821060608636373</v>
      </c>
      <c r="O746">
        <v>1.6859999999999999</v>
      </c>
      <c r="P746" s="6">
        <f t="shared" si="12"/>
        <v>0.98147233186818184</v>
      </c>
    </row>
    <row r="747" spans="1:16">
      <c r="A747">
        <v>1408</v>
      </c>
      <c r="B747">
        <v>97.819953083181829</v>
      </c>
      <c r="O747">
        <v>1.6879999999999999</v>
      </c>
      <c r="P747" s="6">
        <f t="shared" si="12"/>
        <v>0.9814930115863636</v>
      </c>
    </row>
    <row r="748" spans="1:16">
      <c r="A748">
        <v>1410</v>
      </c>
      <c r="B748">
        <v>97.817222893636355</v>
      </c>
      <c r="O748">
        <v>1.69</v>
      </c>
      <c r="P748" s="6">
        <f t="shared" si="12"/>
        <v>0.98150729345454535</v>
      </c>
    </row>
    <row r="749" spans="1:16">
      <c r="A749">
        <v>1412</v>
      </c>
      <c r="B749">
        <v>97.81777484727273</v>
      </c>
      <c r="O749">
        <v>1.6919999999999999</v>
      </c>
      <c r="P749" s="6">
        <f t="shared" si="12"/>
        <v>0.98151583779090901</v>
      </c>
    </row>
    <row r="750" spans="1:16">
      <c r="A750">
        <v>1414</v>
      </c>
      <c r="B750">
        <v>97.819836758636356</v>
      </c>
      <c r="O750">
        <v>1.694</v>
      </c>
      <c r="P750" s="6">
        <f t="shared" si="12"/>
        <v>0.98153122230000023</v>
      </c>
    </row>
    <row r="751" spans="1:16">
      <c r="A751">
        <v>1416</v>
      </c>
      <c r="B751">
        <v>97.822564415454551</v>
      </c>
      <c r="O751">
        <v>1.696</v>
      </c>
      <c r="P751" s="6">
        <f t="shared" si="12"/>
        <v>0.98154382804545448</v>
      </c>
    </row>
    <row r="752" spans="1:16">
      <c r="A752">
        <v>1418</v>
      </c>
      <c r="B752">
        <v>97.829194462272724</v>
      </c>
      <c r="O752">
        <v>1.698</v>
      </c>
      <c r="P752" s="6">
        <f t="shared" si="12"/>
        <v>0.98155340989545448</v>
      </c>
    </row>
    <row r="753" spans="1:16">
      <c r="A753">
        <v>1420</v>
      </c>
      <c r="B753">
        <v>97.834638559545468</v>
      </c>
      <c r="O753">
        <v>1.7</v>
      </c>
      <c r="P753" s="6">
        <f t="shared" si="12"/>
        <v>0.98158312511818191</v>
      </c>
    </row>
    <row r="754" spans="1:16">
      <c r="A754">
        <v>1422</v>
      </c>
      <c r="B754">
        <v>97.841444359545449</v>
      </c>
      <c r="O754">
        <v>1.702</v>
      </c>
      <c r="P754" s="6">
        <f t="shared" si="12"/>
        <v>0.98161007876363626</v>
      </c>
    </row>
    <row r="755" spans="1:16">
      <c r="A755">
        <v>1424</v>
      </c>
      <c r="B755">
        <v>97.850715860000008</v>
      </c>
      <c r="O755">
        <v>1.704</v>
      </c>
      <c r="P755" s="6">
        <f t="shared" si="12"/>
        <v>0.98163113205909114</v>
      </c>
    </row>
    <row r="756" spans="1:16">
      <c r="A756">
        <v>1426</v>
      </c>
      <c r="B756">
        <v>97.856991144090898</v>
      </c>
      <c r="O756">
        <v>1.706</v>
      </c>
      <c r="P756" s="6">
        <f t="shared" si="12"/>
        <v>0.9816537882090911</v>
      </c>
    </row>
    <row r="757" spans="1:16">
      <c r="A757">
        <v>1428</v>
      </c>
      <c r="B757">
        <v>97.865877398636357</v>
      </c>
      <c r="O757">
        <v>1.708</v>
      </c>
      <c r="P757" s="6">
        <f t="shared" si="12"/>
        <v>0.98168105301818187</v>
      </c>
    </row>
    <row r="758" spans="1:16">
      <c r="A758">
        <v>1430</v>
      </c>
      <c r="B758">
        <v>97.873446001818181</v>
      </c>
      <c r="O758">
        <v>1.71</v>
      </c>
      <c r="P758" s="6">
        <f t="shared" si="12"/>
        <v>0.98168669738181824</v>
      </c>
    </row>
    <row r="759" spans="1:16">
      <c r="A759">
        <v>1432</v>
      </c>
      <c r="B759">
        <v>97.880960875</v>
      </c>
      <c r="O759">
        <v>1.712</v>
      </c>
      <c r="P759" s="6">
        <f t="shared" si="12"/>
        <v>0.9817037896727272</v>
      </c>
    </row>
    <row r="760" spans="1:16">
      <c r="A760">
        <v>1434</v>
      </c>
      <c r="B760">
        <v>97.88521431909092</v>
      </c>
      <c r="O760">
        <v>1.714</v>
      </c>
      <c r="P760" s="6">
        <f t="shared" si="12"/>
        <v>0.98171973138181812</v>
      </c>
    </row>
    <row r="761" spans="1:16">
      <c r="A761">
        <v>1436</v>
      </c>
      <c r="B761">
        <v>97.890864471818176</v>
      </c>
      <c r="O761">
        <v>1.716</v>
      </c>
      <c r="P761" s="6">
        <f t="shared" si="12"/>
        <v>0.98173424662272735</v>
      </c>
    </row>
    <row r="762" spans="1:16">
      <c r="A762">
        <v>1438</v>
      </c>
      <c r="B762">
        <v>97.894754559999996</v>
      </c>
      <c r="O762">
        <v>1.718</v>
      </c>
      <c r="P762" s="6">
        <f t="shared" si="12"/>
        <v>0.98174270683636355</v>
      </c>
    </row>
    <row r="763" spans="1:16">
      <c r="A763">
        <v>1440</v>
      </c>
      <c r="B763">
        <v>97.896202646818168</v>
      </c>
      <c r="O763">
        <v>1.72</v>
      </c>
      <c r="P763" s="6">
        <f t="shared" si="12"/>
        <v>0.98176468276818174</v>
      </c>
    </row>
    <row r="764" spans="1:16">
      <c r="A764">
        <v>1442</v>
      </c>
      <c r="B764">
        <v>97.897241698181801</v>
      </c>
      <c r="O764">
        <v>1.722</v>
      </c>
      <c r="P764" s="6">
        <f t="shared" si="12"/>
        <v>0.98176778807272713</v>
      </c>
    </row>
    <row r="765" spans="1:16">
      <c r="A765">
        <v>1444</v>
      </c>
      <c r="B765">
        <v>97.900381827727273</v>
      </c>
      <c r="O765">
        <v>1.724</v>
      </c>
      <c r="P765" s="6">
        <f t="shared" si="12"/>
        <v>0.98177474493181816</v>
      </c>
    </row>
    <row r="766" spans="1:16">
      <c r="A766">
        <v>1446</v>
      </c>
      <c r="B766">
        <v>97.904180918636357</v>
      </c>
      <c r="O766">
        <v>1.726</v>
      </c>
      <c r="P766" s="6">
        <f t="shared" si="12"/>
        <v>0.9817769836818182</v>
      </c>
    </row>
    <row r="767" spans="1:16">
      <c r="A767">
        <v>1448</v>
      </c>
      <c r="B767">
        <v>97.907641438181813</v>
      </c>
      <c r="O767">
        <v>1.728</v>
      </c>
      <c r="P767" s="6">
        <f t="shared" si="12"/>
        <v>0.9817972853000001</v>
      </c>
    </row>
    <row r="768" spans="1:16">
      <c r="A768">
        <v>1450</v>
      </c>
      <c r="B768">
        <v>97.91114040090909</v>
      </c>
      <c r="O768">
        <v>1.73</v>
      </c>
      <c r="P768" s="6">
        <f t="shared" si="12"/>
        <v>0.98179886101818181</v>
      </c>
    </row>
    <row r="769" spans="1:16">
      <c r="A769">
        <v>1452</v>
      </c>
      <c r="B769">
        <v>97.912988115909087</v>
      </c>
      <c r="O769">
        <v>1.732</v>
      </c>
      <c r="P769" s="6">
        <f t="shared" si="12"/>
        <v>0.9818123866863635</v>
      </c>
    </row>
    <row r="770" spans="1:16">
      <c r="A770">
        <v>1454</v>
      </c>
      <c r="B770">
        <v>97.916863460000016</v>
      </c>
      <c r="O770">
        <v>1.734</v>
      </c>
      <c r="P770" s="6">
        <f t="shared" si="12"/>
        <v>0.98182730806818197</v>
      </c>
    </row>
    <row r="771" spans="1:16">
      <c r="A771">
        <v>1456</v>
      </c>
      <c r="B771">
        <v>97.921680345454547</v>
      </c>
      <c r="O771">
        <v>1.736</v>
      </c>
      <c r="P771" s="6">
        <f t="shared" si="12"/>
        <v>0.98185197773636379</v>
      </c>
    </row>
    <row r="772" spans="1:16">
      <c r="A772">
        <v>1458</v>
      </c>
      <c r="B772">
        <v>97.923390388636349</v>
      </c>
      <c r="O772">
        <v>1.738</v>
      </c>
      <c r="P772" s="6">
        <f t="shared" ref="P772:P835" si="13">B912/100</f>
        <v>0.98186525375</v>
      </c>
    </row>
    <row r="773" spans="1:16">
      <c r="A773">
        <v>1460</v>
      </c>
      <c r="B773">
        <v>97.926489270909101</v>
      </c>
      <c r="O773">
        <v>1.74</v>
      </c>
      <c r="P773" s="6">
        <f t="shared" si="13"/>
        <v>0.98188299279090896</v>
      </c>
    </row>
    <row r="774" spans="1:16">
      <c r="A774">
        <v>1462</v>
      </c>
      <c r="B774">
        <v>97.929336418181819</v>
      </c>
      <c r="O774">
        <v>1.742</v>
      </c>
      <c r="P774" s="6">
        <f t="shared" si="13"/>
        <v>0.98189743476363645</v>
      </c>
    </row>
    <row r="775" spans="1:16">
      <c r="A775">
        <v>1464</v>
      </c>
      <c r="B775">
        <v>97.934196812272731</v>
      </c>
      <c r="O775">
        <v>1.744</v>
      </c>
      <c r="P775" s="6">
        <f t="shared" si="13"/>
        <v>0.98191481650909085</v>
      </c>
    </row>
    <row r="776" spans="1:16">
      <c r="A776">
        <v>1466</v>
      </c>
      <c r="B776">
        <v>97.937314418636376</v>
      </c>
      <c r="O776">
        <v>1.746</v>
      </c>
      <c r="P776" s="6">
        <f t="shared" si="13"/>
        <v>0.98192273037727273</v>
      </c>
    </row>
    <row r="777" spans="1:16">
      <c r="A777">
        <v>1468</v>
      </c>
      <c r="B777">
        <v>97.938238683181822</v>
      </c>
      <c r="O777">
        <v>1.748</v>
      </c>
      <c r="P777" s="6">
        <f t="shared" si="13"/>
        <v>0.98195456223636379</v>
      </c>
    </row>
    <row r="778" spans="1:16">
      <c r="A778">
        <v>1470</v>
      </c>
      <c r="B778">
        <v>97.940254372272719</v>
      </c>
      <c r="O778">
        <v>1.75</v>
      </c>
      <c r="P778" s="6">
        <f t="shared" si="13"/>
        <v>0.98197464585909122</v>
      </c>
    </row>
    <row r="779" spans="1:16">
      <c r="A779">
        <v>1472</v>
      </c>
      <c r="B779">
        <v>97.94241822590908</v>
      </c>
      <c r="O779">
        <v>1.752</v>
      </c>
      <c r="P779" s="6">
        <f t="shared" si="13"/>
        <v>0.9819998112181817</v>
      </c>
    </row>
    <row r="780" spans="1:16">
      <c r="A780">
        <v>1474</v>
      </c>
      <c r="B780">
        <v>97.946247619090911</v>
      </c>
      <c r="O780">
        <v>1.754</v>
      </c>
      <c r="P780" s="6">
        <f t="shared" si="13"/>
        <v>0.98202163428181821</v>
      </c>
    </row>
    <row r="781" spans="1:16">
      <c r="A781">
        <v>1476</v>
      </c>
      <c r="B781">
        <v>97.948084660454555</v>
      </c>
      <c r="O781">
        <v>1.756</v>
      </c>
      <c r="P781" s="6">
        <f t="shared" si="13"/>
        <v>0.98203808705909079</v>
      </c>
    </row>
    <row r="782" spans="1:16">
      <c r="A782">
        <v>1478</v>
      </c>
      <c r="B782">
        <v>97.948966139999996</v>
      </c>
      <c r="O782">
        <v>1.758</v>
      </c>
      <c r="P782" s="6">
        <f t="shared" si="13"/>
        <v>0.9820514616681818</v>
      </c>
    </row>
    <row r="783" spans="1:16">
      <c r="A783">
        <v>1480</v>
      </c>
      <c r="B783">
        <v>97.952888249090918</v>
      </c>
      <c r="O783">
        <v>1.76</v>
      </c>
      <c r="P783" s="6">
        <f t="shared" si="13"/>
        <v>0.98206553006363617</v>
      </c>
    </row>
    <row r="784" spans="1:16">
      <c r="A784">
        <v>1482</v>
      </c>
      <c r="B784">
        <v>97.956279389999992</v>
      </c>
      <c r="O784">
        <v>1.762</v>
      </c>
      <c r="P784" s="6">
        <f t="shared" si="13"/>
        <v>0.98207114457727274</v>
      </c>
    </row>
    <row r="785" spans="1:16">
      <c r="A785">
        <v>1484</v>
      </c>
      <c r="B785">
        <v>97.958681048636365</v>
      </c>
      <c r="O785">
        <v>1.764</v>
      </c>
      <c r="P785" s="6">
        <f t="shared" si="13"/>
        <v>0.982075988418182</v>
      </c>
    </row>
    <row r="786" spans="1:16">
      <c r="A786">
        <v>1486</v>
      </c>
      <c r="B786">
        <v>97.960590905909086</v>
      </c>
      <c r="O786">
        <v>1.766</v>
      </c>
      <c r="P786" s="6">
        <f t="shared" si="13"/>
        <v>0.982091781781818</v>
      </c>
    </row>
    <row r="787" spans="1:16">
      <c r="A787">
        <v>1488</v>
      </c>
      <c r="B787">
        <v>97.9612144090909</v>
      </c>
      <c r="O787">
        <v>1.768</v>
      </c>
      <c r="P787" s="6">
        <f t="shared" si="13"/>
        <v>0.98211129825454546</v>
      </c>
    </row>
    <row r="788" spans="1:16">
      <c r="A788">
        <v>1490</v>
      </c>
      <c r="B788">
        <v>97.964006831363633</v>
      </c>
      <c r="O788">
        <v>1.77</v>
      </c>
      <c r="P788" s="6">
        <f t="shared" si="13"/>
        <v>0.98210207822272733</v>
      </c>
    </row>
    <row r="789" spans="1:16">
      <c r="A789">
        <v>1492</v>
      </c>
      <c r="B789">
        <v>97.966443405454555</v>
      </c>
      <c r="O789">
        <v>1.772</v>
      </c>
      <c r="P789" s="6">
        <f t="shared" si="13"/>
        <v>0.98209597525454539</v>
      </c>
    </row>
    <row r="790" spans="1:16">
      <c r="A790">
        <v>1494</v>
      </c>
      <c r="B790">
        <v>97.967316020454533</v>
      </c>
      <c r="O790">
        <v>1.774</v>
      </c>
      <c r="P790" s="6">
        <f t="shared" si="13"/>
        <v>0.98209545152272726</v>
      </c>
    </row>
    <row r="791" spans="1:16">
      <c r="A791">
        <v>1496</v>
      </c>
      <c r="B791">
        <v>97.968476552272733</v>
      </c>
      <c r="O791">
        <v>1.776</v>
      </c>
      <c r="P791" s="6">
        <f t="shared" si="13"/>
        <v>0.98209912035909086</v>
      </c>
    </row>
    <row r="792" spans="1:16">
      <c r="A792">
        <v>1498</v>
      </c>
      <c r="B792">
        <v>97.970351855909087</v>
      </c>
      <c r="O792">
        <v>1.778</v>
      </c>
      <c r="P792" s="6">
        <f t="shared" si="13"/>
        <v>0.98210731735000012</v>
      </c>
    </row>
    <row r="793" spans="1:16">
      <c r="A793">
        <v>1500</v>
      </c>
      <c r="B793">
        <v>97.972264698181803</v>
      </c>
      <c r="O793">
        <v>1.78</v>
      </c>
      <c r="P793" s="6">
        <f t="shared" si="13"/>
        <v>0.98212270728636364</v>
      </c>
    </row>
    <row r="794" spans="1:16">
      <c r="A794">
        <v>1502</v>
      </c>
      <c r="B794">
        <v>97.972050954090903</v>
      </c>
      <c r="O794">
        <v>1.782</v>
      </c>
      <c r="P794" s="6">
        <f t="shared" si="13"/>
        <v>0.98214076563181818</v>
      </c>
    </row>
    <row r="795" spans="1:16">
      <c r="A795">
        <v>1504</v>
      </c>
      <c r="B795">
        <v>97.973808485909075</v>
      </c>
      <c r="O795">
        <v>1.784</v>
      </c>
      <c r="P795" s="6">
        <f t="shared" si="13"/>
        <v>0.98215107473636354</v>
      </c>
    </row>
    <row r="796" spans="1:16">
      <c r="A796">
        <v>1506</v>
      </c>
      <c r="B796">
        <v>97.974643743181787</v>
      </c>
      <c r="O796">
        <v>1.786</v>
      </c>
      <c r="P796" s="6">
        <f t="shared" si="13"/>
        <v>0.98216425939090912</v>
      </c>
    </row>
    <row r="797" spans="1:16">
      <c r="A797">
        <v>1508</v>
      </c>
      <c r="B797">
        <v>97.975633406363627</v>
      </c>
      <c r="O797">
        <v>1.788</v>
      </c>
      <c r="P797" s="6">
        <f t="shared" si="13"/>
        <v>0.98216820954090933</v>
      </c>
    </row>
    <row r="798" spans="1:16">
      <c r="A798">
        <v>1510</v>
      </c>
      <c r="B798">
        <v>97.978765123636364</v>
      </c>
      <c r="O798">
        <v>1.79</v>
      </c>
      <c r="P798" s="6">
        <f t="shared" si="13"/>
        <v>0.98218441809090906</v>
      </c>
    </row>
    <row r="799" spans="1:16">
      <c r="A799">
        <v>1512</v>
      </c>
      <c r="B799">
        <v>97.980778008636364</v>
      </c>
      <c r="O799">
        <v>1.792</v>
      </c>
      <c r="P799" s="6">
        <f t="shared" si="13"/>
        <v>0.9822224831727272</v>
      </c>
    </row>
    <row r="800" spans="1:16">
      <c r="A800">
        <v>1514</v>
      </c>
      <c r="B800">
        <v>97.983245880000013</v>
      </c>
      <c r="O800">
        <v>1.794</v>
      </c>
      <c r="P800" s="6">
        <f t="shared" si="13"/>
        <v>0.98222546817272727</v>
      </c>
    </row>
    <row r="801" spans="1:16">
      <c r="A801">
        <v>1516</v>
      </c>
      <c r="B801">
        <v>97.986957591818197</v>
      </c>
      <c r="O801">
        <v>1.796</v>
      </c>
      <c r="P801" s="6">
        <f t="shared" si="13"/>
        <v>0.98220396622272699</v>
      </c>
    </row>
    <row r="802" spans="1:16">
      <c r="A802">
        <v>1518</v>
      </c>
      <c r="B802">
        <v>97.989505967727254</v>
      </c>
      <c r="O802">
        <v>1.798</v>
      </c>
      <c r="P802" s="6">
        <f t="shared" si="13"/>
        <v>0.98218365194090917</v>
      </c>
    </row>
    <row r="803" spans="1:16">
      <c r="A803">
        <v>1520</v>
      </c>
      <c r="B803">
        <v>97.990817920454546</v>
      </c>
      <c r="O803">
        <v>1.8</v>
      </c>
      <c r="P803" s="6">
        <f t="shared" si="13"/>
        <v>0.98214375515454533</v>
      </c>
    </row>
    <row r="804" spans="1:16">
      <c r="A804">
        <v>1522</v>
      </c>
      <c r="B804">
        <v>97.992070444545462</v>
      </c>
      <c r="O804">
        <v>1.802</v>
      </c>
      <c r="P804" s="6">
        <f t="shared" si="13"/>
        <v>0.98208967147727266</v>
      </c>
    </row>
    <row r="805" spans="1:16">
      <c r="A805">
        <v>1524</v>
      </c>
      <c r="B805">
        <v>97.996019509090914</v>
      </c>
      <c r="O805">
        <v>1.804</v>
      </c>
      <c r="P805" s="6">
        <f t="shared" si="13"/>
        <v>0.98204349533636359</v>
      </c>
    </row>
    <row r="806" spans="1:16">
      <c r="A806">
        <v>1526</v>
      </c>
      <c r="B806">
        <v>97.998919662727289</v>
      </c>
      <c r="O806">
        <v>1.806</v>
      </c>
      <c r="P806" s="6">
        <f t="shared" si="13"/>
        <v>0.98201839329545448</v>
      </c>
    </row>
    <row r="807" spans="1:16">
      <c r="A807">
        <v>1528</v>
      </c>
      <c r="B807">
        <v>98.002031751363631</v>
      </c>
      <c r="O807">
        <v>1.8080000000000001</v>
      </c>
      <c r="P807" s="6">
        <f t="shared" si="13"/>
        <v>0.98199099642272725</v>
      </c>
    </row>
    <row r="808" spans="1:16">
      <c r="A808">
        <v>1530</v>
      </c>
      <c r="B808">
        <v>98.004843259545453</v>
      </c>
      <c r="O808">
        <v>1.81</v>
      </c>
      <c r="P808" s="6">
        <f t="shared" si="13"/>
        <v>0.98198321280909073</v>
      </c>
    </row>
    <row r="809" spans="1:16">
      <c r="A809">
        <v>1532</v>
      </c>
      <c r="B809">
        <v>98.007748388181795</v>
      </c>
      <c r="O809">
        <v>1.8120000000000001</v>
      </c>
      <c r="P809" s="6">
        <f t="shared" si="13"/>
        <v>0.98191279304090895</v>
      </c>
    </row>
    <row r="810" spans="1:16">
      <c r="A810">
        <v>1534</v>
      </c>
      <c r="B810">
        <v>98.009447667272724</v>
      </c>
      <c r="O810">
        <v>1.8140000000000001</v>
      </c>
      <c r="P810" s="6">
        <f t="shared" si="13"/>
        <v>0.98186617910000007</v>
      </c>
    </row>
    <row r="811" spans="1:16">
      <c r="A811">
        <v>1536</v>
      </c>
      <c r="B811">
        <v>98.010902628636359</v>
      </c>
      <c r="O811">
        <v>1.8160000000000001</v>
      </c>
      <c r="P811" s="6">
        <f t="shared" si="13"/>
        <v>0.98184697559999989</v>
      </c>
    </row>
    <row r="812" spans="1:16">
      <c r="A812">
        <v>1538</v>
      </c>
      <c r="B812">
        <v>98.012846135000004</v>
      </c>
      <c r="O812">
        <v>1.8180000000000001</v>
      </c>
      <c r="P812" s="6">
        <f t="shared" si="13"/>
        <v>0.98183853799999998</v>
      </c>
    </row>
    <row r="813" spans="1:16">
      <c r="A813">
        <v>1540</v>
      </c>
      <c r="B813">
        <v>98.015897619090921</v>
      </c>
      <c r="O813">
        <v>1.82</v>
      </c>
      <c r="P813" s="6">
        <f t="shared" si="13"/>
        <v>0.98185385466818209</v>
      </c>
    </row>
    <row r="814" spans="1:16">
      <c r="A814">
        <v>1542</v>
      </c>
      <c r="B814">
        <v>98.019519328636363</v>
      </c>
      <c r="O814">
        <v>1.8220000000000001</v>
      </c>
      <c r="P814" s="6">
        <f t="shared" si="13"/>
        <v>0.98187932304999992</v>
      </c>
    </row>
    <row r="815" spans="1:16">
      <c r="A815">
        <v>1544</v>
      </c>
      <c r="B815">
        <v>98.023819718636375</v>
      </c>
      <c r="O815">
        <v>1.8240000000000001</v>
      </c>
      <c r="P815" s="6">
        <f t="shared" si="13"/>
        <v>0.98188954441363652</v>
      </c>
    </row>
    <row r="816" spans="1:16">
      <c r="A816">
        <v>1546</v>
      </c>
      <c r="B816">
        <v>98.026482248181821</v>
      </c>
      <c r="O816">
        <v>1.8260000000000001</v>
      </c>
      <c r="P816" s="6">
        <f t="shared" si="13"/>
        <v>0.98189701776818172</v>
      </c>
    </row>
    <row r="817" spans="1:16">
      <c r="A817">
        <v>1548</v>
      </c>
      <c r="B817">
        <v>98.027365175</v>
      </c>
      <c r="O817">
        <v>1.8280000000000001</v>
      </c>
      <c r="P817" s="6">
        <f t="shared" si="13"/>
        <v>0.9818901414136364</v>
      </c>
    </row>
    <row r="818" spans="1:16">
      <c r="A818">
        <v>1550</v>
      </c>
      <c r="B818">
        <v>98.028864549545446</v>
      </c>
      <c r="O818">
        <v>1.83</v>
      </c>
      <c r="P818" s="6">
        <f t="shared" si="13"/>
        <v>0.98188466167727284</v>
      </c>
    </row>
    <row r="819" spans="1:16">
      <c r="A819">
        <v>1552</v>
      </c>
      <c r="B819">
        <v>98.03117132136363</v>
      </c>
      <c r="O819">
        <v>1.8320000000000001</v>
      </c>
      <c r="P819" s="6">
        <f t="shared" si="13"/>
        <v>0.9818580472363635</v>
      </c>
    </row>
    <row r="820" spans="1:16">
      <c r="A820">
        <v>1554</v>
      </c>
      <c r="B820">
        <v>98.032563597727261</v>
      </c>
      <c r="O820">
        <v>1.8340000000000001</v>
      </c>
      <c r="P820" s="6">
        <f t="shared" si="13"/>
        <v>0.98190107917727276</v>
      </c>
    </row>
    <row r="821" spans="1:16">
      <c r="A821">
        <v>1556</v>
      </c>
      <c r="B821">
        <v>98.0360742290909</v>
      </c>
      <c r="O821">
        <v>1.8360000000000001</v>
      </c>
      <c r="P821" s="6">
        <f t="shared" si="13"/>
        <v>0.9818954999409093</v>
      </c>
    </row>
    <row r="822" spans="1:16">
      <c r="A822">
        <v>1558</v>
      </c>
      <c r="B822">
        <v>98.039380885454534</v>
      </c>
      <c r="O822">
        <v>1.8380000000000001</v>
      </c>
      <c r="P822" s="6">
        <f t="shared" si="13"/>
        <v>0.98189151541818209</v>
      </c>
    </row>
    <row r="823" spans="1:16">
      <c r="A823">
        <v>1560</v>
      </c>
      <c r="B823">
        <v>98.04151868818181</v>
      </c>
      <c r="O823">
        <v>1.84</v>
      </c>
      <c r="P823" s="6">
        <f t="shared" si="13"/>
        <v>0.98190318495909101</v>
      </c>
    </row>
    <row r="824" spans="1:16">
      <c r="A824">
        <v>1562</v>
      </c>
      <c r="B824">
        <v>98.04293249272726</v>
      </c>
      <c r="O824">
        <v>1.8420000000000001</v>
      </c>
      <c r="P824" s="6">
        <f t="shared" si="13"/>
        <v>0.98189115450454534</v>
      </c>
    </row>
    <row r="825" spans="1:16">
      <c r="A825">
        <v>1564</v>
      </c>
      <c r="B825">
        <v>98.043953634090897</v>
      </c>
      <c r="O825">
        <v>1.8440000000000001</v>
      </c>
      <c r="P825" s="6">
        <f t="shared" si="13"/>
        <v>0.9818815219999999</v>
      </c>
    </row>
    <row r="826" spans="1:16">
      <c r="A826">
        <v>1566</v>
      </c>
      <c r="B826">
        <v>98.044866682272712</v>
      </c>
      <c r="O826">
        <v>1.8460000000000001</v>
      </c>
      <c r="P826" s="6">
        <f t="shared" si="13"/>
        <v>0.98188445905909094</v>
      </c>
    </row>
    <row r="827" spans="1:16">
      <c r="A827">
        <v>1568</v>
      </c>
      <c r="B827">
        <v>98.044655380454529</v>
      </c>
      <c r="O827">
        <v>1.8480000000000001</v>
      </c>
      <c r="P827" s="6">
        <f t="shared" si="13"/>
        <v>0.98187978074999993</v>
      </c>
    </row>
    <row r="828" spans="1:16">
      <c r="A828">
        <v>1570</v>
      </c>
      <c r="B828">
        <v>98.046096864090913</v>
      </c>
      <c r="O828">
        <v>1.85</v>
      </c>
      <c r="P828" s="6">
        <f t="shared" si="13"/>
        <v>0.98188027553636359</v>
      </c>
    </row>
    <row r="829" spans="1:16">
      <c r="A829">
        <v>1572</v>
      </c>
      <c r="B829">
        <v>98.04879449000002</v>
      </c>
      <c r="O829">
        <v>1.8520000000000001</v>
      </c>
      <c r="P829" s="6">
        <f t="shared" si="13"/>
        <v>0.98189047519090922</v>
      </c>
    </row>
    <row r="830" spans="1:16">
      <c r="A830">
        <v>1574</v>
      </c>
      <c r="B830">
        <v>98.050160534545455</v>
      </c>
      <c r="O830">
        <v>1.8540000000000001</v>
      </c>
      <c r="P830" s="6">
        <f t="shared" si="13"/>
        <v>0.98190583527727282</v>
      </c>
    </row>
    <row r="831" spans="1:16">
      <c r="A831">
        <v>1576</v>
      </c>
      <c r="B831">
        <v>98.050538724999996</v>
      </c>
      <c r="O831">
        <v>1.8560000000000001</v>
      </c>
      <c r="P831" s="6">
        <f t="shared" si="13"/>
        <v>0.98190210764545438</v>
      </c>
    </row>
    <row r="832" spans="1:16">
      <c r="A832">
        <v>1578</v>
      </c>
      <c r="B832">
        <v>98.05095264500001</v>
      </c>
      <c r="O832">
        <v>1.8580000000000001</v>
      </c>
      <c r="P832" s="6">
        <f t="shared" si="13"/>
        <v>0.98190880851818196</v>
      </c>
    </row>
    <row r="833" spans="1:16">
      <c r="A833">
        <v>1580</v>
      </c>
      <c r="B833">
        <v>98.052656718181808</v>
      </c>
      <c r="O833">
        <v>1.86</v>
      </c>
      <c r="P833" s="6">
        <f t="shared" si="13"/>
        <v>0.9819207286181818</v>
      </c>
    </row>
    <row r="834" spans="1:16">
      <c r="A834">
        <v>1582</v>
      </c>
      <c r="B834">
        <v>98.053663929545451</v>
      </c>
      <c r="O834">
        <v>1.8620000000000001</v>
      </c>
      <c r="P834" s="6">
        <f t="shared" si="13"/>
        <v>0.98193660700909102</v>
      </c>
    </row>
    <row r="835" spans="1:16">
      <c r="A835">
        <v>1584</v>
      </c>
      <c r="B835">
        <v>98.054753635454546</v>
      </c>
      <c r="O835">
        <v>1.8640000000000001</v>
      </c>
      <c r="P835" s="6">
        <f t="shared" si="13"/>
        <v>0.98195019056818178</v>
      </c>
    </row>
    <row r="836" spans="1:16">
      <c r="A836">
        <v>1586</v>
      </c>
      <c r="B836">
        <v>98.057236522272746</v>
      </c>
      <c r="O836">
        <v>1.8660000000000001</v>
      </c>
      <c r="P836" s="6">
        <f t="shared" ref="P836:P899" si="14">B976/100</f>
        <v>0.98197412303181819</v>
      </c>
    </row>
    <row r="837" spans="1:16">
      <c r="A837">
        <v>1588</v>
      </c>
      <c r="B837">
        <v>98.059646774090908</v>
      </c>
      <c r="O837">
        <v>1.8680000000000001</v>
      </c>
      <c r="P837" s="6">
        <f t="shared" si="14"/>
        <v>0.98200690828181825</v>
      </c>
    </row>
    <row r="838" spans="1:16">
      <c r="A838">
        <v>1590</v>
      </c>
      <c r="B838">
        <v>98.062808070000003</v>
      </c>
      <c r="O838">
        <v>1.87</v>
      </c>
      <c r="P838" s="6">
        <f t="shared" si="14"/>
        <v>0.98203074305454541</v>
      </c>
    </row>
    <row r="839" spans="1:16">
      <c r="A839">
        <v>1592</v>
      </c>
      <c r="B839">
        <v>98.066488484545459</v>
      </c>
      <c r="O839">
        <v>1.8720000000000001</v>
      </c>
      <c r="P839" s="6">
        <f t="shared" si="14"/>
        <v>0.98205981243181806</v>
      </c>
    </row>
    <row r="840" spans="1:16">
      <c r="A840">
        <v>1594</v>
      </c>
      <c r="B840">
        <v>98.068972095000007</v>
      </c>
      <c r="O840">
        <v>1.8740000000000001</v>
      </c>
      <c r="P840" s="6">
        <f t="shared" si="14"/>
        <v>0.98207574871363634</v>
      </c>
    </row>
    <row r="841" spans="1:16">
      <c r="A841">
        <v>1596</v>
      </c>
      <c r="B841">
        <v>98.072662097727274</v>
      </c>
      <c r="O841">
        <v>1.8759999999999999</v>
      </c>
      <c r="P841" s="6">
        <f t="shared" si="14"/>
        <v>0.98208318950454521</v>
      </c>
    </row>
    <row r="842" spans="1:16">
      <c r="A842">
        <v>1598</v>
      </c>
      <c r="B842">
        <v>98.077690194545468</v>
      </c>
      <c r="O842">
        <v>1.8779999999999999</v>
      </c>
      <c r="P842" s="6">
        <f t="shared" si="14"/>
        <v>0.98209383057727284</v>
      </c>
    </row>
    <row r="843" spans="1:16">
      <c r="A843">
        <v>1600</v>
      </c>
      <c r="B843">
        <v>98.080973061363636</v>
      </c>
      <c r="O843">
        <v>1.88</v>
      </c>
      <c r="P843" s="6">
        <f t="shared" si="14"/>
        <v>0.98209090346818173</v>
      </c>
    </row>
    <row r="844" spans="1:16">
      <c r="A844">
        <v>1602</v>
      </c>
      <c r="B844">
        <v>98.082327256363641</v>
      </c>
      <c r="O844">
        <v>1.8819999999999999</v>
      </c>
      <c r="P844" s="6">
        <f t="shared" si="14"/>
        <v>0.98208336498636339</v>
      </c>
    </row>
    <row r="845" spans="1:16">
      <c r="A845">
        <v>1604</v>
      </c>
      <c r="B845">
        <v>98.083761865454534</v>
      </c>
      <c r="O845">
        <v>1.8839999999999999</v>
      </c>
      <c r="P845" s="6">
        <f t="shared" si="14"/>
        <v>0.98208090824090921</v>
      </c>
    </row>
    <row r="846" spans="1:16">
      <c r="A846">
        <v>1606</v>
      </c>
      <c r="B846">
        <v>98.085438621363636</v>
      </c>
      <c r="O846">
        <v>1.8859999999999999</v>
      </c>
      <c r="P846" s="6">
        <f t="shared" si="14"/>
        <v>0.98207878346363653</v>
      </c>
    </row>
    <row r="847" spans="1:16">
      <c r="A847">
        <v>1608</v>
      </c>
      <c r="B847">
        <v>98.087017053181796</v>
      </c>
      <c r="O847">
        <v>1.8879999999999999</v>
      </c>
      <c r="P847" s="6">
        <f t="shared" si="14"/>
        <v>0.98205889884090924</v>
      </c>
    </row>
    <row r="848" spans="1:16">
      <c r="A848">
        <v>1610</v>
      </c>
      <c r="B848">
        <v>98.089267290909078</v>
      </c>
      <c r="O848">
        <v>1.89</v>
      </c>
      <c r="P848" s="6">
        <f t="shared" si="14"/>
        <v>0.98203574519090919</v>
      </c>
    </row>
    <row r="849" spans="1:16">
      <c r="A849">
        <v>1612</v>
      </c>
      <c r="B849">
        <v>98.090839300454533</v>
      </c>
      <c r="O849">
        <v>1.8919999999999999</v>
      </c>
      <c r="P849" s="6">
        <f t="shared" si="14"/>
        <v>0.98202501909090911</v>
      </c>
    </row>
    <row r="850" spans="1:16">
      <c r="A850">
        <v>1614</v>
      </c>
      <c r="B850">
        <v>98.091506312272728</v>
      </c>
      <c r="O850">
        <v>1.8939999999999999</v>
      </c>
      <c r="P850" s="6">
        <f t="shared" si="14"/>
        <v>0.9820076644818182</v>
      </c>
    </row>
    <row r="851" spans="1:16">
      <c r="A851">
        <v>1616</v>
      </c>
      <c r="B851">
        <v>98.092342021818183</v>
      </c>
      <c r="O851">
        <v>1.8959999999999999</v>
      </c>
      <c r="P851" s="6">
        <f t="shared" si="14"/>
        <v>0.982001278390909</v>
      </c>
    </row>
    <row r="852" spans="1:16">
      <c r="A852">
        <v>1618</v>
      </c>
      <c r="B852">
        <v>98.093177912272722</v>
      </c>
      <c r="O852">
        <v>1.8979999999999999</v>
      </c>
      <c r="P852" s="6">
        <f t="shared" si="14"/>
        <v>0.98199866787272738</v>
      </c>
    </row>
    <row r="853" spans="1:16">
      <c r="A853">
        <v>1620</v>
      </c>
      <c r="B853">
        <v>98.094213074090902</v>
      </c>
      <c r="O853">
        <v>1.9</v>
      </c>
      <c r="P853" s="6">
        <f t="shared" si="14"/>
        <v>0.98199421208181814</v>
      </c>
    </row>
    <row r="854" spans="1:16">
      <c r="A854">
        <v>1622</v>
      </c>
      <c r="B854">
        <v>98.095811496363623</v>
      </c>
      <c r="O854">
        <v>1.9019999999999999</v>
      </c>
      <c r="P854" s="6">
        <f t="shared" si="14"/>
        <v>0.98201810836363634</v>
      </c>
    </row>
    <row r="855" spans="1:16">
      <c r="A855">
        <v>1624</v>
      </c>
      <c r="B855">
        <v>98.098853844545445</v>
      </c>
      <c r="O855">
        <v>1.9039999999999999</v>
      </c>
      <c r="P855" s="6">
        <f t="shared" si="14"/>
        <v>0.98203214690909102</v>
      </c>
    </row>
    <row r="856" spans="1:16">
      <c r="A856">
        <v>1626</v>
      </c>
      <c r="B856">
        <v>98.102267146818193</v>
      </c>
      <c r="O856">
        <v>1.9059999999999999</v>
      </c>
      <c r="P856" s="6">
        <f t="shared" si="14"/>
        <v>0.98202926140909097</v>
      </c>
    </row>
    <row r="857" spans="1:16">
      <c r="A857">
        <v>1628</v>
      </c>
      <c r="B857">
        <v>98.104700193181827</v>
      </c>
      <c r="O857">
        <v>1.9079999999999999</v>
      </c>
      <c r="P857" s="6">
        <f t="shared" si="14"/>
        <v>0.98203866868181811</v>
      </c>
    </row>
    <row r="858" spans="1:16">
      <c r="A858">
        <v>1630</v>
      </c>
      <c r="B858">
        <v>98.105849508636368</v>
      </c>
      <c r="O858">
        <v>1.91</v>
      </c>
      <c r="P858" s="6">
        <f t="shared" si="14"/>
        <v>0.98205535573636382</v>
      </c>
    </row>
    <row r="859" spans="1:16">
      <c r="A859">
        <v>1632</v>
      </c>
      <c r="B859">
        <v>98.106243438181835</v>
      </c>
      <c r="O859">
        <v>1.9119999999999999</v>
      </c>
      <c r="P859" s="6">
        <f t="shared" si="14"/>
        <v>0.98206059757727293</v>
      </c>
    </row>
    <row r="860" spans="1:16">
      <c r="A860">
        <v>1634</v>
      </c>
      <c r="B860">
        <v>98.107139119090917</v>
      </c>
      <c r="O860">
        <v>1.9139999999999999</v>
      </c>
      <c r="P860" s="6">
        <f t="shared" si="14"/>
        <v>0.98207447149545457</v>
      </c>
    </row>
    <row r="861" spans="1:16">
      <c r="A861">
        <v>1636</v>
      </c>
      <c r="B861">
        <v>98.108137104090943</v>
      </c>
      <c r="O861">
        <v>1.9159999999999999</v>
      </c>
      <c r="P861" s="6">
        <f t="shared" si="14"/>
        <v>0.98209829993636366</v>
      </c>
    </row>
    <row r="862" spans="1:16">
      <c r="A862">
        <v>1638</v>
      </c>
      <c r="B862">
        <v>98.108786025000029</v>
      </c>
      <c r="O862">
        <v>1.9179999999999999</v>
      </c>
      <c r="P862" s="6">
        <f t="shared" si="14"/>
        <v>0.9821175206227275</v>
      </c>
    </row>
    <row r="863" spans="1:16">
      <c r="A863">
        <v>1640</v>
      </c>
      <c r="B863">
        <v>98.109205643636386</v>
      </c>
      <c r="O863">
        <v>1.92</v>
      </c>
      <c r="P863" s="6">
        <f t="shared" si="14"/>
        <v>0.98213773450000008</v>
      </c>
    </row>
    <row r="864" spans="1:16">
      <c r="A864">
        <v>1642</v>
      </c>
      <c r="B864">
        <v>98.109174346363645</v>
      </c>
      <c r="O864">
        <v>1.9219999999999999</v>
      </c>
      <c r="P864" s="6">
        <f t="shared" si="14"/>
        <v>0.98215327639999983</v>
      </c>
    </row>
    <row r="865" spans="1:16">
      <c r="A865">
        <v>1644</v>
      </c>
      <c r="B865">
        <v>98.109725666818193</v>
      </c>
      <c r="O865">
        <v>1.9239999999999999</v>
      </c>
      <c r="P865" s="6">
        <f t="shared" si="14"/>
        <v>0.982155819981818</v>
      </c>
    </row>
    <row r="866" spans="1:16">
      <c r="A866">
        <v>1646</v>
      </c>
      <c r="B866">
        <v>98.110795834545442</v>
      </c>
      <c r="O866">
        <v>1.9259999999999999</v>
      </c>
      <c r="P866" s="6">
        <f t="shared" si="14"/>
        <v>0.98216903448636361</v>
      </c>
    </row>
    <row r="867" spans="1:16">
      <c r="A867">
        <v>1648</v>
      </c>
      <c r="B867">
        <v>98.11180476454544</v>
      </c>
      <c r="O867">
        <v>1.9279999999999999</v>
      </c>
      <c r="P867" s="6">
        <f t="shared" si="14"/>
        <v>0.98218252849545451</v>
      </c>
    </row>
    <row r="868" spans="1:16">
      <c r="A868">
        <v>1650</v>
      </c>
      <c r="B868">
        <v>98.112703159090913</v>
      </c>
      <c r="O868">
        <v>1.93</v>
      </c>
      <c r="P868" s="6">
        <f t="shared" si="14"/>
        <v>0.98219135233636368</v>
      </c>
    </row>
    <row r="869" spans="1:16">
      <c r="A869">
        <v>1652</v>
      </c>
      <c r="B869">
        <v>98.114617900909082</v>
      </c>
      <c r="O869">
        <v>1.9319999999999999</v>
      </c>
      <c r="P869" s="6">
        <f t="shared" si="14"/>
        <v>0.98221409713181795</v>
      </c>
    </row>
    <row r="870" spans="1:16">
      <c r="A870">
        <v>1654</v>
      </c>
      <c r="B870">
        <v>98.116956241363638</v>
      </c>
      <c r="O870">
        <v>1.9339999999999999</v>
      </c>
      <c r="P870" s="6">
        <f t="shared" si="14"/>
        <v>0.98227186773636377</v>
      </c>
    </row>
    <row r="871" spans="1:16">
      <c r="A871">
        <v>1656</v>
      </c>
      <c r="B871">
        <v>98.119486164545449</v>
      </c>
      <c r="O871">
        <v>1.9359999999999999</v>
      </c>
      <c r="P871" s="6">
        <f t="shared" si="14"/>
        <v>0.98232959944545462</v>
      </c>
    </row>
    <row r="872" spans="1:16">
      <c r="A872">
        <v>1658</v>
      </c>
      <c r="B872">
        <v>98.122155116363629</v>
      </c>
      <c r="O872">
        <v>1.9379999999999999</v>
      </c>
      <c r="P872" s="6">
        <f t="shared" si="14"/>
        <v>0.98238571111363637</v>
      </c>
    </row>
    <row r="873" spans="1:16">
      <c r="A873">
        <v>1660</v>
      </c>
      <c r="B873">
        <v>98.124897155454548</v>
      </c>
      <c r="O873">
        <v>1.94</v>
      </c>
      <c r="P873" s="6">
        <f t="shared" si="14"/>
        <v>0.98244646490909104</v>
      </c>
    </row>
    <row r="874" spans="1:16">
      <c r="A874">
        <v>1662</v>
      </c>
      <c r="B874">
        <v>98.12767790909092</v>
      </c>
      <c r="O874">
        <v>1.9419999999999999</v>
      </c>
      <c r="P874" s="6">
        <f t="shared" si="14"/>
        <v>0.9825205327090909</v>
      </c>
    </row>
    <row r="875" spans="1:16">
      <c r="A875">
        <v>1664</v>
      </c>
      <c r="B875">
        <v>98.130182233636376</v>
      </c>
      <c r="O875">
        <v>1.944</v>
      </c>
      <c r="P875" s="6">
        <f t="shared" si="14"/>
        <v>0.98258527012272723</v>
      </c>
    </row>
    <row r="876" spans="1:16">
      <c r="A876">
        <v>1666</v>
      </c>
      <c r="B876">
        <v>98.132383264090919</v>
      </c>
      <c r="O876">
        <v>1.946</v>
      </c>
      <c r="P876" s="6">
        <f t="shared" si="14"/>
        <v>0.98265052493636373</v>
      </c>
    </row>
    <row r="877" spans="1:16">
      <c r="A877">
        <v>1668</v>
      </c>
      <c r="B877">
        <v>98.133375098181801</v>
      </c>
      <c r="O877">
        <v>1.948</v>
      </c>
      <c r="P877" s="6">
        <f t="shared" si="14"/>
        <v>0.98271999945454569</v>
      </c>
    </row>
    <row r="878" spans="1:16">
      <c r="A878">
        <v>1670</v>
      </c>
      <c r="B878">
        <v>98.135039009545466</v>
      </c>
      <c r="O878">
        <v>1.95</v>
      </c>
      <c r="P878" s="6">
        <f t="shared" si="14"/>
        <v>0.98279572799999992</v>
      </c>
    </row>
    <row r="879" spans="1:16">
      <c r="A879">
        <v>1672</v>
      </c>
      <c r="B879">
        <v>98.136974194090911</v>
      </c>
      <c r="O879">
        <v>1.952</v>
      </c>
      <c r="P879" s="6">
        <f t="shared" si="14"/>
        <v>0.98286393796363658</v>
      </c>
    </row>
    <row r="880" spans="1:16">
      <c r="A880">
        <v>1674</v>
      </c>
      <c r="B880">
        <v>98.139642603181827</v>
      </c>
      <c r="O880">
        <v>1.954</v>
      </c>
      <c r="P880" s="6">
        <f t="shared" si="14"/>
        <v>0.9829212255409091</v>
      </c>
    </row>
    <row r="881" spans="1:16">
      <c r="A881">
        <v>1676</v>
      </c>
      <c r="B881">
        <v>98.141638573181822</v>
      </c>
      <c r="O881">
        <v>1.956</v>
      </c>
      <c r="P881" s="6">
        <f t="shared" si="14"/>
        <v>0.98295841140454532</v>
      </c>
    </row>
    <row r="882" spans="1:16">
      <c r="A882">
        <v>1678</v>
      </c>
      <c r="B882">
        <v>98.14225891045453</v>
      </c>
      <c r="O882">
        <v>1.958</v>
      </c>
      <c r="P882" s="6">
        <f t="shared" si="14"/>
        <v>0.98298439175909069</v>
      </c>
    </row>
    <row r="883" spans="1:16">
      <c r="A883">
        <v>1680</v>
      </c>
      <c r="B883">
        <v>98.143416004999992</v>
      </c>
      <c r="O883">
        <v>1.96</v>
      </c>
      <c r="P883" s="6">
        <f t="shared" si="14"/>
        <v>0.98300162606363639</v>
      </c>
    </row>
    <row r="884" spans="1:16">
      <c r="A884">
        <v>1682</v>
      </c>
      <c r="B884">
        <v>98.145122610909084</v>
      </c>
      <c r="O884">
        <v>1.962</v>
      </c>
      <c r="P884" s="6">
        <f t="shared" si="14"/>
        <v>0.98302512072727277</v>
      </c>
    </row>
    <row r="885" spans="1:16">
      <c r="A885">
        <v>1684</v>
      </c>
      <c r="B885">
        <v>98.145715449999997</v>
      </c>
      <c r="O885">
        <v>1.964</v>
      </c>
      <c r="P885" s="6">
        <f t="shared" si="14"/>
        <v>0.98303408386818192</v>
      </c>
    </row>
    <row r="886" spans="1:16">
      <c r="A886">
        <v>1686</v>
      </c>
      <c r="B886">
        <v>98.147233186818184</v>
      </c>
      <c r="O886">
        <v>1.966</v>
      </c>
      <c r="P886" s="6">
        <f t="shared" si="14"/>
        <v>0.98304777778181818</v>
      </c>
    </row>
    <row r="887" spans="1:16">
      <c r="A887">
        <v>1688</v>
      </c>
      <c r="B887">
        <v>98.149301158636362</v>
      </c>
      <c r="O887">
        <v>1.968</v>
      </c>
      <c r="P887" s="6">
        <f t="shared" si="14"/>
        <v>0.98306611653636378</v>
      </c>
    </row>
    <row r="888" spans="1:16">
      <c r="A888">
        <v>1690</v>
      </c>
      <c r="B888">
        <v>98.150729345454536</v>
      </c>
      <c r="O888">
        <v>1.97</v>
      </c>
      <c r="P888" s="6">
        <f t="shared" si="14"/>
        <v>0.98308090585454555</v>
      </c>
    </row>
    <row r="889" spans="1:16">
      <c r="A889">
        <v>1692</v>
      </c>
      <c r="B889">
        <v>98.151583779090899</v>
      </c>
      <c r="O889">
        <v>1.972</v>
      </c>
      <c r="P889" s="6">
        <f t="shared" si="14"/>
        <v>0.98309259258181825</v>
      </c>
    </row>
    <row r="890" spans="1:16">
      <c r="A890">
        <v>1694</v>
      </c>
      <c r="B890">
        <v>98.153122230000022</v>
      </c>
      <c r="O890">
        <v>1.974</v>
      </c>
      <c r="P890" s="6">
        <f t="shared" si="14"/>
        <v>0.98311326415909084</v>
      </c>
    </row>
    <row r="891" spans="1:16">
      <c r="A891">
        <v>1696</v>
      </c>
      <c r="B891">
        <v>98.154382804545449</v>
      </c>
      <c r="O891">
        <v>1.976</v>
      </c>
      <c r="P891" s="6">
        <f t="shared" si="14"/>
        <v>0.9831261512181817</v>
      </c>
    </row>
    <row r="892" spans="1:16">
      <c r="A892">
        <v>1698</v>
      </c>
      <c r="B892">
        <v>98.155340989545451</v>
      </c>
      <c r="O892">
        <v>1.978</v>
      </c>
      <c r="P892" s="6">
        <f t="shared" si="14"/>
        <v>0.98313017554090909</v>
      </c>
    </row>
    <row r="893" spans="1:16">
      <c r="A893">
        <v>1700</v>
      </c>
      <c r="B893">
        <v>98.158312511818195</v>
      </c>
      <c r="O893">
        <v>1.98</v>
      </c>
      <c r="P893" s="6">
        <f t="shared" si="14"/>
        <v>0.98313755482272724</v>
      </c>
    </row>
    <row r="894" spans="1:16">
      <c r="A894">
        <v>1702</v>
      </c>
      <c r="B894">
        <v>98.161007876363627</v>
      </c>
      <c r="O894">
        <v>1.982</v>
      </c>
      <c r="P894" s="6">
        <f t="shared" si="14"/>
        <v>0.9831387479181819</v>
      </c>
    </row>
    <row r="895" spans="1:16">
      <c r="A895">
        <v>1704</v>
      </c>
      <c r="B895">
        <v>98.163113205909113</v>
      </c>
      <c r="O895">
        <v>1.984</v>
      </c>
      <c r="P895" s="6">
        <f t="shared" si="14"/>
        <v>0.98312502415454528</v>
      </c>
    </row>
    <row r="896" spans="1:16">
      <c r="A896">
        <v>1706</v>
      </c>
      <c r="B896">
        <v>98.165378820909112</v>
      </c>
      <c r="O896">
        <v>1.986</v>
      </c>
      <c r="P896" s="6">
        <f t="shared" si="14"/>
        <v>0.9831274103454547</v>
      </c>
    </row>
    <row r="897" spans="1:16">
      <c r="A897">
        <v>1708</v>
      </c>
      <c r="B897">
        <v>98.168105301818187</v>
      </c>
      <c r="O897">
        <v>1.988</v>
      </c>
      <c r="P897" s="6">
        <f t="shared" si="14"/>
        <v>0.98313338577272713</v>
      </c>
    </row>
    <row r="898" spans="1:16">
      <c r="A898">
        <v>1710</v>
      </c>
      <c r="B898">
        <v>98.168669738181819</v>
      </c>
      <c r="O898">
        <v>1.99</v>
      </c>
      <c r="P898" s="6">
        <f t="shared" si="14"/>
        <v>0.98313573125909104</v>
      </c>
    </row>
    <row r="899" spans="1:16">
      <c r="A899">
        <v>1712</v>
      </c>
      <c r="B899">
        <v>98.170378967272725</v>
      </c>
      <c r="O899">
        <v>1.992</v>
      </c>
      <c r="P899" s="6">
        <f t="shared" si="14"/>
        <v>0.98314102737272735</v>
      </c>
    </row>
    <row r="900" spans="1:16">
      <c r="A900">
        <v>1714</v>
      </c>
      <c r="B900">
        <v>98.171973138181812</v>
      </c>
      <c r="O900">
        <v>1.994</v>
      </c>
      <c r="P900" s="6">
        <f t="shared" ref="P900:P963" si="15">B1040/100</f>
        <v>0.98314695576363642</v>
      </c>
    </row>
    <row r="901" spans="1:16">
      <c r="A901">
        <v>1716</v>
      </c>
      <c r="B901">
        <v>98.173424662272737</v>
      </c>
      <c r="O901">
        <v>1.996</v>
      </c>
      <c r="P901" s="6">
        <f t="shared" si="15"/>
        <v>0.98314237243181835</v>
      </c>
    </row>
    <row r="902" spans="1:16">
      <c r="A902">
        <v>1718</v>
      </c>
      <c r="B902">
        <v>98.174270683636351</v>
      </c>
      <c r="O902">
        <v>1.998</v>
      </c>
      <c r="P902" s="6">
        <f t="shared" si="15"/>
        <v>0.98313825222727269</v>
      </c>
    </row>
    <row r="903" spans="1:16">
      <c r="A903">
        <v>1720</v>
      </c>
      <c r="B903">
        <v>98.17646827681817</v>
      </c>
      <c r="O903">
        <v>2</v>
      </c>
      <c r="P903" s="6">
        <f t="shared" si="15"/>
        <v>0.98315435132727291</v>
      </c>
    </row>
    <row r="904" spans="1:16">
      <c r="A904">
        <v>1722</v>
      </c>
      <c r="B904">
        <v>98.176778807272711</v>
      </c>
      <c r="O904">
        <v>2.0019999999999998</v>
      </c>
      <c r="P904" s="6">
        <f t="shared" si="15"/>
        <v>0.98317689893181826</v>
      </c>
    </row>
    <row r="905" spans="1:16">
      <c r="A905">
        <v>1724</v>
      </c>
      <c r="B905">
        <v>98.177474493181819</v>
      </c>
      <c r="O905">
        <v>2.004</v>
      </c>
      <c r="P905" s="6">
        <f t="shared" si="15"/>
        <v>0.98319534623181815</v>
      </c>
    </row>
    <row r="906" spans="1:16">
      <c r="A906">
        <v>1726</v>
      </c>
      <c r="B906">
        <v>98.177698368181822</v>
      </c>
      <c r="O906">
        <v>2.0059999999999998</v>
      </c>
      <c r="P906" s="6">
        <f t="shared" si="15"/>
        <v>0.98321109889090907</v>
      </c>
    </row>
    <row r="907" spans="1:16">
      <c r="A907">
        <v>1728</v>
      </c>
      <c r="B907">
        <v>98.179728530000006</v>
      </c>
      <c r="O907">
        <v>2.008</v>
      </c>
      <c r="P907" s="6">
        <f t="shared" si="15"/>
        <v>0.98321014911818194</v>
      </c>
    </row>
    <row r="908" spans="1:16">
      <c r="A908">
        <v>1730</v>
      </c>
      <c r="B908">
        <v>98.179886101818184</v>
      </c>
      <c r="O908">
        <v>2.0099999999999998</v>
      </c>
      <c r="P908" s="6">
        <f t="shared" si="15"/>
        <v>0.98321242224090921</v>
      </c>
    </row>
    <row r="909" spans="1:16">
      <c r="A909">
        <v>1732</v>
      </c>
      <c r="B909">
        <v>98.181238668636354</v>
      </c>
      <c r="O909">
        <v>2.012</v>
      </c>
      <c r="P909" s="6">
        <f t="shared" si="15"/>
        <v>0.98321727784090907</v>
      </c>
    </row>
    <row r="910" spans="1:16">
      <c r="A910">
        <v>1734</v>
      </c>
      <c r="B910">
        <v>98.182730806818199</v>
      </c>
      <c r="O910">
        <v>2.0139999999999998</v>
      </c>
      <c r="P910" s="6">
        <f t="shared" si="15"/>
        <v>0.98321381705000011</v>
      </c>
    </row>
    <row r="911" spans="1:16">
      <c r="A911">
        <v>1736</v>
      </c>
      <c r="B911">
        <v>98.185197773636375</v>
      </c>
      <c r="O911">
        <v>2.016</v>
      </c>
      <c r="P911" s="6">
        <f t="shared" si="15"/>
        <v>0.98321842570909079</v>
      </c>
    </row>
    <row r="912" spans="1:16">
      <c r="A912">
        <v>1738</v>
      </c>
      <c r="B912">
        <v>98.186525375000002</v>
      </c>
      <c r="O912">
        <v>2.0179999999999998</v>
      </c>
      <c r="P912" s="6">
        <f t="shared" si="15"/>
        <v>0.98322118999999997</v>
      </c>
    </row>
    <row r="913" spans="1:16">
      <c r="A913">
        <v>1740</v>
      </c>
      <c r="B913">
        <v>98.188299279090899</v>
      </c>
      <c r="O913">
        <v>2.02</v>
      </c>
      <c r="P913" s="6">
        <f t="shared" si="15"/>
        <v>0.98323121959999993</v>
      </c>
    </row>
    <row r="914" spans="1:16">
      <c r="A914">
        <v>1742</v>
      </c>
      <c r="B914">
        <v>98.189743476363645</v>
      </c>
      <c r="O914">
        <v>2.0219999999999998</v>
      </c>
      <c r="P914" s="6">
        <f t="shared" si="15"/>
        <v>0.98322659918181843</v>
      </c>
    </row>
    <row r="915" spans="1:16">
      <c r="A915">
        <v>1744</v>
      </c>
      <c r="B915">
        <v>98.191481650909083</v>
      </c>
      <c r="O915">
        <v>2.024</v>
      </c>
      <c r="P915" s="6">
        <f t="shared" si="15"/>
        <v>0.9832139907227273</v>
      </c>
    </row>
    <row r="916" spans="1:16">
      <c r="A916">
        <v>1746</v>
      </c>
      <c r="B916">
        <v>98.192273037727276</v>
      </c>
      <c r="O916">
        <v>2.0259999999999998</v>
      </c>
      <c r="P916" s="6">
        <f t="shared" si="15"/>
        <v>0.98321825022727272</v>
      </c>
    </row>
    <row r="917" spans="1:16">
      <c r="A917">
        <v>1748</v>
      </c>
      <c r="B917">
        <v>98.195456223636384</v>
      </c>
      <c r="O917">
        <v>2.028</v>
      </c>
      <c r="P917" s="6">
        <f t="shared" si="15"/>
        <v>0.98323101788636391</v>
      </c>
    </row>
    <row r="918" spans="1:16">
      <c r="A918">
        <v>1750</v>
      </c>
      <c r="B918">
        <v>98.197464585909117</v>
      </c>
      <c r="O918">
        <v>2.0299999999999998</v>
      </c>
      <c r="P918" s="6">
        <f t="shared" si="15"/>
        <v>0.98324688904090907</v>
      </c>
    </row>
    <row r="919" spans="1:16">
      <c r="A919">
        <v>1752</v>
      </c>
      <c r="B919">
        <v>98.199981121818169</v>
      </c>
      <c r="O919">
        <v>2.032</v>
      </c>
      <c r="P919" s="6">
        <f t="shared" si="15"/>
        <v>0.9832499427863638</v>
      </c>
    </row>
    <row r="920" spans="1:16">
      <c r="A920">
        <v>1754</v>
      </c>
      <c r="B920">
        <v>98.202163428181819</v>
      </c>
      <c r="O920">
        <v>2.0339999999999998</v>
      </c>
      <c r="P920" s="6">
        <f t="shared" si="15"/>
        <v>0.98325025756818174</v>
      </c>
    </row>
    <row r="921" spans="1:16">
      <c r="A921">
        <v>1756</v>
      </c>
      <c r="B921">
        <v>98.203808705909083</v>
      </c>
      <c r="O921">
        <v>2.036</v>
      </c>
      <c r="P921" s="6">
        <f t="shared" si="15"/>
        <v>0.98326221656363633</v>
      </c>
    </row>
    <row r="922" spans="1:16">
      <c r="A922">
        <v>1758</v>
      </c>
      <c r="B922">
        <v>98.205146166818182</v>
      </c>
      <c r="O922">
        <v>2.0379999999999998</v>
      </c>
      <c r="P922" s="6">
        <f t="shared" si="15"/>
        <v>0.98326835390454537</v>
      </c>
    </row>
    <row r="923" spans="1:16">
      <c r="A923">
        <v>1760</v>
      </c>
      <c r="B923">
        <v>98.20655300636362</v>
      </c>
      <c r="O923">
        <v>2.04</v>
      </c>
      <c r="P923" s="6">
        <f t="shared" si="15"/>
        <v>0.98327384901818193</v>
      </c>
    </row>
    <row r="924" spans="1:16">
      <c r="A924">
        <v>1762</v>
      </c>
      <c r="B924">
        <v>98.207114457727272</v>
      </c>
      <c r="O924">
        <v>2.0419999999999998</v>
      </c>
      <c r="P924" s="6">
        <f t="shared" si="15"/>
        <v>0.98328194379545453</v>
      </c>
    </row>
    <row r="925" spans="1:16">
      <c r="A925">
        <v>1764</v>
      </c>
      <c r="B925">
        <v>98.207598841818196</v>
      </c>
      <c r="O925">
        <v>2.044</v>
      </c>
      <c r="P925" s="6">
        <f t="shared" si="15"/>
        <v>0.98329185037727285</v>
      </c>
    </row>
    <row r="926" spans="1:16">
      <c r="A926">
        <v>1766</v>
      </c>
      <c r="B926">
        <v>98.209178178181801</v>
      </c>
      <c r="O926">
        <v>2.0459999999999998</v>
      </c>
      <c r="P926" s="6">
        <f t="shared" si="15"/>
        <v>0.98331016109090907</v>
      </c>
    </row>
    <row r="927" spans="1:16">
      <c r="A927">
        <v>1768</v>
      </c>
      <c r="B927">
        <v>98.211129825454549</v>
      </c>
      <c r="O927">
        <v>2.048</v>
      </c>
      <c r="P927" s="6">
        <f t="shared" si="15"/>
        <v>0.98331951951818186</v>
      </c>
    </row>
    <row r="928" spans="1:16">
      <c r="A928">
        <v>1770</v>
      </c>
      <c r="B928">
        <v>98.210207822272736</v>
      </c>
      <c r="O928">
        <v>2.0499999999999998</v>
      </c>
      <c r="P928" s="6">
        <f t="shared" si="15"/>
        <v>0.98332159454545442</v>
      </c>
    </row>
    <row r="929" spans="1:16">
      <c r="A929">
        <v>1772</v>
      </c>
      <c r="B929">
        <v>98.209597525454541</v>
      </c>
      <c r="O929">
        <v>2.052</v>
      </c>
      <c r="P929" s="6">
        <f t="shared" si="15"/>
        <v>0.98332840034545455</v>
      </c>
    </row>
    <row r="930" spans="1:16">
      <c r="A930">
        <v>1774</v>
      </c>
      <c r="B930">
        <v>98.209545152272725</v>
      </c>
      <c r="O930">
        <v>2.0539999999999998</v>
      </c>
      <c r="P930" s="6">
        <f t="shared" si="15"/>
        <v>0.98335250467272728</v>
      </c>
    </row>
    <row r="931" spans="1:16">
      <c r="A931">
        <v>1776</v>
      </c>
      <c r="B931">
        <v>98.209912035909085</v>
      </c>
      <c r="O931">
        <v>2.056</v>
      </c>
      <c r="P931" s="6">
        <f t="shared" si="15"/>
        <v>0.98337846603181811</v>
      </c>
    </row>
    <row r="932" spans="1:16">
      <c r="A932">
        <v>1778</v>
      </c>
      <c r="B932">
        <v>98.21073173500001</v>
      </c>
      <c r="O932">
        <v>2.0579999999999998</v>
      </c>
      <c r="P932" s="6">
        <f t="shared" si="15"/>
        <v>0.98338573134090912</v>
      </c>
    </row>
    <row r="933" spans="1:16">
      <c r="A933">
        <v>1780</v>
      </c>
      <c r="B933">
        <v>98.212270728636369</v>
      </c>
      <c r="O933">
        <v>2.06</v>
      </c>
      <c r="P933" s="6">
        <f t="shared" si="15"/>
        <v>0.98340730927272735</v>
      </c>
    </row>
    <row r="934" spans="1:16">
      <c r="A934">
        <v>1782</v>
      </c>
      <c r="B934">
        <v>98.21407656318182</v>
      </c>
      <c r="O934">
        <v>2.0619999999999998</v>
      </c>
      <c r="P934" s="6">
        <f t="shared" si="15"/>
        <v>0.98344072137272731</v>
      </c>
    </row>
    <row r="935" spans="1:16">
      <c r="A935">
        <v>1784</v>
      </c>
      <c r="B935">
        <v>98.215107473636351</v>
      </c>
      <c r="O935">
        <v>2.0640000000000001</v>
      </c>
      <c r="P935" s="6">
        <f t="shared" si="15"/>
        <v>0.98345758390909066</v>
      </c>
    </row>
    <row r="936" spans="1:16">
      <c r="A936">
        <v>1786</v>
      </c>
      <c r="B936">
        <v>98.216425939090911</v>
      </c>
      <c r="O936">
        <v>2.0659999999999998</v>
      </c>
      <c r="P936" s="6">
        <f t="shared" si="15"/>
        <v>0.9834825240363636</v>
      </c>
    </row>
    <row r="937" spans="1:16">
      <c r="A937">
        <v>1788</v>
      </c>
      <c r="B937">
        <v>98.216820954090934</v>
      </c>
      <c r="O937">
        <v>2.0680000000000001</v>
      </c>
      <c r="P937" s="6">
        <f t="shared" si="15"/>
        <v>0.98350171396818165</v>
      </c>
    </row>
    <row r="938" spans="1:16">
      <c r="A938">
        <v>1790</v>
      </c>
      <c r="B938">
        <v>98.218441809090905</v>
      </c>
      <c r="O938">
        <v>2.0699999999999998</v>
      </c>
      <c r="P938" s="6">
        <f t="shared" si="15"/>
        <v>0.98350917737272725</v>
      </c>
    </row>
    <row r="939" spans="1:16">
      <c r="A939">
        <v>1792</v>
      </c>
      <c r="B939">
        <v>98.222248317272715</v>
      </c>
      <c r="O939">
        <v>2.0720000000000001</v>
      </c>
      <c r="P939" s="6">
        <f t="shared" si="15"/>
        <v>0.98352197759545457</v>
      </c>
    </row>
    <row r="940" spans="1:16">
      <c r="A940">
        <v>1794</v>
      </c>
      <c r="B940">
        <v>98.222546817272729</v>
      </c>
      <c r="O940">
        <v>2.0739999999999998</v>
      </c>
      <c r="P940" s="6">
        <f t="shared" si="15"/>
        <v>0.98353806403181832</v>
      </c>
    </row>
    <row r="941" spans="1:16">
      <c r="A941">
        <v>1796</v>
      </c>
      <c r="B941">
        <v>98.220396622272702</v>
      </c>
      <c r="O941">
        <v>2.0760000000000001</v>
      </c>
      <c r="P941" s="6">
        <f t="shared" si="15"/>
        <v>0.98353441871363656</v>
      </c>
    </row>
    <row r="942" spans="1:16">
      <c r="A942">
        <v>1798</v>
      </c>
      <c r="B942">
        <v>98.218365194090921</v>
      </c>
      <c r="O942">
        <v>2.0779999999999998</v>
      </c>
      <c r="P942" s="6">
        <f t="shared" si="15"/>
        <v>0.98354395714545451</v>
      </c>
    </row>
    <row r="943" spans="1:16">
      <c r="A943">
        <v>1800</v>
      </c>
      <c r="B943">
        <v>98.214375515454535</v>
      </c>
      <c r="O943">
        <v>2.08</v>
      </c>
      <c r="P943" s="6">
        <f t="shared" si="15"/>
        <v>0.9835645274136362</v>
      </c>
    </row>
    <row r="944" spans="1:16">
      <c r="A944">
        <v>1802</v>
      </c>
      <c r="B944">
        <v>98.208967147727265</v>
      </c>
      <c r="O944">
        <v>2.0819999999999999</v>
      </c>
      <c r="P944" s="6">
        <f t="shared" si="15"/>
        <v>0.98355559140909077</v>
      </c>
    </row>
    <row r="945" spans="1:16">
      <c r="A945">
        <v>1804</v>
      </c>
      <c r="B945">
        <v>98.204349533636361</v>
      </c>
      <c r="O945">
        <v>2.0840000000000001</v>
      </c>
      <c r="P945" s="6">
        <f t="shared" si="15"/>
        <v>0.98355851399545469</v>
      </c>
    </row>
    <row r="946" spans="1:16">
      <c r="A946">
        <v>1806</v>
      </c>
      <c r="B946">
        <v>98.20183932954545</v>
      </c>
      <c r="O946">
        <v>2.0859999999999999</v>
      </c>
      <c r="P946" s="6">
        <f t="shared" si="15"/>
        <v>0.98357383337727267</v>
      </c>
    </row>
    <row r="947" spans="1:16">
      <c r="A947">
        <v>1808</v>
      </c>
      <c r="B947">
        <v>98.199099642272728</v>
      </c>
      <c r="O947">
        <v>2.0880000000000001</v>
      </c>
      <c r="P947" s="6">
        <f t="shared" si="15"/>
        <v>0.9835615659318182</v>
      </c>
    </row>
    <row r="948" spans="1:16">
      <c r="A948">
        <v>1810</v>
      </c>
      <c r="B948">
        <v>98.19832128090907</v>
      </c>
      <c r="O948">
        <v>2.09</v>
      </c>
      <c r="P948" s="6">
        <f t="shared" si="15"/>
        <v>0.98356106571818169</v>
      </c>
    </row>
    <row r="949" spans="1:16">
      <c r="A949">
        <v>1812</v>
      </c>
      <c r="B949">
        <v>98.191279304090898</v>
      </c>
      <c r="O949">
        <v>2.0920000000000001</v>
      </c>
      <c r="P949" s="6">
        <f t="shared" si="15"/>
        <v>0.98356649118181805</v>
      </c>
    </row>
    <row r="950" spans="1:16">
      <c r="A950">
        <v>1814</v>
      </c>
      <c r="B950">
        <v>98.18661791000001</v>
      </c>
      <c r="O950">
        <v>2.0939999999999999</v>
      </c>
      <c r="P950" s="6">
        <f t="shared" si="15"/>
        <v>0.98357767317272715</v>
      </c>
    </row>
    <row r="951" spans="1:16">
      <c r="A951">
        <v>1816</v>
      </c>
      <c r="B951">
        <v>98.184697559999989</v>
      </c>
      <c r="O951">
        <v>2.0960000000000001</v>
      </c>
      <c r="P951" s="6">
        <f t="shared" si="15"/>
        <v>0.98357475149090901</v>
      </c>
    </row>
    <row r="952" spans="1:16">
      <c r="A952">
        <v>1818</v>
      </c>
      <c r="B952">
        <v>98.183853799999994</v>
      </c>
      <c r="O952">
        <v>2.0979999999999999</v>
      </c>
      <c r="P952" s="6">
        <f t="shared" si="15"/>
        <v>0.98359877079090907</v>
      </c>
    </row>
    <row r="953" spans="1:16">
      <c r="A953">
        <v>1820</v>
      </c>
      <c r="B953">
        <v>98.185385466818204</v>
      </c>
      <c r="O953">
        <v>2.1</v>
      </c>
      <c r="P953" s="6">
        <f t="shared" si="15"/>
        <v>0.98360526723636355</v>
      </c>
    </row>
    <row r="954" spans="1:16">
      <c r="A954">
        <v>1822</v>
      </c>
      <c r="B954">
        <v>98.18793230499999</v>
      </c>
      <c r="O954">
        <v>2.1019999999999999</v>
      </c>
      <c r="P954" s="6">
        <f t="shared" si="15"/>
        <v>0.9836149087863636</v>
      </c>
    </row>
    <row r="955" spans="1:16">
      <c r="A955">
        <v>1824</v>
      </c>
      <c r="B955">
        <v>98.188954441363649</v>
      </c>
      <c r="O955">
        <v>2.1040000000000001</v>
      </c>
      <c r="P955" s="6">
        <f t="shared" si="15"/>
        <v>0.98362923678636349</v>
      </c>
    </row>
    <row r="956" spans="1:16">
      <c r="A956">
        <v>1826</v>
      </c>
      <c r="B956">
        <v>98.189701776818168</v>
      </c>
      <c r="O956">
        <v>2.1059999999999999</v>
      </c>
      <c r="P956" s="6">
        <f t="shared" si="15"/>
        <v>0.98361501371363635</v>
      </c>
    </row>
    <row r="957" spans="1:16">
      <c r="A957">
        <v>1828</v>
      </c>
      <c r="B957">
        <v>98.189014141363643</v>
      </c>
      <c r="O957">
        <v>2.1080000000000001</v>
      </c>
      <c r="P957" s="6">
        <f t="shared" si="15"/>
        <v>0.98359447691363644</v>
      </c>
    </row>
    <row r="958" spans="1:16">
      <c r="A958">
        <v>1830</v>
      </c>
      <c r="B958">
        <v>98.188466167727285</v>
      </c>
      <c r="O958">
        <v>2.11</v>
      </c>
      <c r="P958" s="6">
        <f t="shared" si="15"/>
        <v>0.98361206579999982</v>
      </c>
    </row>
    <row r="959" spans="1:16">
      <c r="A959">
        <v>1832</v>
      </c>
      <c r="B959">
        <v>98.185804723636352</v>
      </c>
      <c r="O959">
        <v>2.1120000000000001</v>
      </c>
      <c r="P959" s="6">
        <f t="shared" si="15"/>
        <v>0.98362752629090922</v>
      </c>
    </row>
    <row r="960" spans="1:16">
      <c r="A960">
        <v>1834</v>
      </c>
      <c r="B960">
        <v>98.190107917727275</v>
      </c>
      <c r="O960">
        <v>2.1139999999999999</v>
      </c>
      <c r="P960" s="6">
        <f t="shared" si="15"/>
        <v>0.98364517668636364</v>
      </c>
    </row>
    <row r="961" spans="1:16">
      <c r="A961">
        <v>1836</v>
      </c>
      <c r="B961">
        <v>98.189549994090925</v>
      </c>
      <c r="O961">
        <v>2.1160000000000001</v>
      </c>
      <c r="P961" s="6">
        <f t="shared" si="15"/>
        <v>0.98365689959545466</v>
      </c>
    </row>
    <row r="962" spans="1:16">
      <c r="A962">
        <v>1838</v>
      </c>
      <c r="B962">
        <v>98.189151541818205</v>
      </c>
      <c r="O962">
        <v>2.1179999999999999</v>
      </c>
      <c r="P962" s="6">
        <f t="shared" si="15"/>
        <v>0.9836679024863636</v>
      </c>
    </row>
    <row r="963" spans="1:16">
      <c r="A963">
        <v>1840</v>
      </c>
      <c r="B963">
        <v>98.190318495909096</v>
      </c>
      <c r="O963">
        <v>2.12</v>
      </c>
      <c r="P963" s="6">
        <f t="shared" si="15"/>
        <v>0.98367135604090916</v>
      </c>
    </row>
    <row r="964" spans="1:16">
      <c r="A964">
        <v>1842</v>
      </c>
      <c r="B964">
        <v>98.189115450454537</v>
      </c>
      <c r="O964">
        <v>2.1219999999999999</v>
      </c>
      <c r="P964" s="6">
        <f t="shared" ref="P964:P1027" si="16">B1104/100</f>
        <v>0.98364576464090903</v>
      </c>
    </row>
    <row r="965" spans="1:16">
      <c r="A965">
        <v>1844</v>
      </c>
      <c r="B965">
        <v>98.18815219999999</v>
      </c>
      <c r="O965">
        <v>2.1240000000000001</v>
      </c>
      <c r="P965" s="6">
        <f t="shared" si="16"/>
        <v>0.98361868707272737</v>
      </c>
    </row>
    <row r="966" spans="1:16">
      <c r="A966">
        <v>1846</v>
      </c>
      <c r="B966">
        <v>98.188445905909091</v>
      </c>
      <c r="O966">
        <v>2.1259999999999999</v>
      </c>
      <c r="P966" s="6">
        <f t="shared" si="16"/>
        <v>0.98363882587272744</v>
      </c>
    </row>
    <row r="967" spans="1:16">
      <c r="A967">
        <v>1848</v>
      </c>
      <c r="B967">
        <v>98.18797807499999</v>
      </c>
      <c r="O967">
        <v>2.1280000000000001</v>
      </c>
      <c r="P967" s="6">
        <f t="shared" si="16"/>
        <v>0.98367507734090898</v>
      </c>
    </row>
    <row r="968" spans="1:16">
      <c r="A968">
        <v>1850</v>
      </c>
      <c r="B968">
        <v>98.18802755363636</v>
      </c>
      <c r="O968">
        <v>2.13</v>
      </c>
      <c r="P968" s="6">
        <f t="shared" si="16"/>
        <v>0.98369635496363628</v>
      </c>
    </row>
    <row r="969" spans="1:16">
      <c r="A969">
        <v>1852</v>
      </c>
      <c r="B969">
        <v>98.18904751909092</v>
      </c>
      <c r="O969">
        <v>2.1320000000000001</v>
      </c>
      <c r="P969" s="6">
        <f t="shared" si="16"/>
        <v>0.98371054004545444</v>
      </c>
    </row>
    <row r="970" spans="1:16">
      <c r="A970">
        <v>1854</v>
      </c>
      <c r="B970">
        <v>98.190583527727284</v>
      </c>
      <c r="O970">
        <v>2.1339999999999999</v>
      </c>
      <c r="P970" s="6">
        <f t="shared" si="16"/>
        <v>0.98370711091363627</v>
      </c>
    </row>
    <row r="971" spans="1:16">
      <c r="A971">
        <v>1856</v>
      </c>
      <c r="B971">
        <v>98.190210764545441</v>
      </c>
      <c r="O971">
        <v>2.1360000000000001</v>
      </c>
      <c r="P971" s="6">
        <f t="shared" si="16"/>
        <v>0.98371906448181823</v>
      </c>
    </row>
    <row r="972" spans="1:16">
      <c r="A972">
        <v>1858</v>
      </c>
      <c r="B972">
        <v>98.190880851818193</v>
      </c>
      <c r="O972">
        <v>2.1379999999999999</v>
      </c>
      <c r="P972" s="6">
        <f t="shared" si="16"/>
        <v>0.98371480045454562</v>
      </c>
    </row>
    <row r="973" spans="1:16">
      <c r="A973">
        <v>1860</v>
      </c>
      <c r="B973">
        <v>98.192072861818176</v>
      </c>
      <c r="O973">
        <v>2.14</v>
      </c>
      <c r="P973" s="6">
        <f t="shared" si="16"/>
        <v>0.98373187013181829</v>
      </c>
    </row>
    <row r="974" spans="1:16">
      <c r="A974">
        <v>1862</v>
      </c>
      <c r="B974">
        <v>98.193660700909106</v>
      </c>
      <c r="O974">
        <v>2.1419999999999999</v>
      </c>
      <c r="P974" s="6">
        <f t="shared" si="16"/>
        <v>0.98374408692272741</v>
      </c>
    </row>
    <row r="975" spans="1:16">
      <c r="A975">
        <v>1864</v>
      </c>
      <c r="B975">
        <v>98.195019056818182</v>
      </c>
      <c r="O975">
        <v>2.1440000000000001</v>
      </c>
      <c r="P975" s="6">
        <f t="shared" si="16"/>
        <v>0.98376718901363636</v>
      </c>
    </row>
    <row r="976" spans="1:16">
      <c r="A976">
        <v>1866</v>
      </c>
      <c r="B976">
        <v>98.197412303181821</v>
      </c>
      <c r="O976">
        <v>2.1459999999999999</v>
      </c>
      <c r="P976" s="6">
        <f t="shared" si="16"/>
        <v>0.98380325052727291</v>
      </c>
    </row>
    <row r="977" spans="1:16">
      <c r="A977">
        <v>1868</v>
      </c>
      <c r="B977">
        <v>98.20069082818182</v>
      </c>
      <c r="O977">
        <v>2.1480000000000001</v>
      </c>
      <c r="P977" s="6">
        <f t="shared" si="16"/>
        <v>0.98379144711363653</v>
      </c>
    </row>
    <row r="978" spans="1:16">
      <c r="A978">
        <v>1870</v>
      </c>
      <c r="B978">
        <v>98.203074305454535</v>
      </c>
      <c r="O978">
        <v>2.15</v>
      </c>
      <c r="P978" s="6">
        <f t="shared" si="16"/>
        <v>0.98377661256818183</v>
      </c>
    </row>
    <row r="979" spans="1:16">
      <c r="A979">
        <v>1872</v>
      </c>
      <c r="B979">
        <v>98.20598124318181</v>
      </c>
      <c r="O979">
        <v>2.1520000000000001</v>
      </c>
      <c r="P979" s="6">
        <f t="shared" si="16"/>
        <v>0.98378755033181819</v>
      </c>
    </row>
    <row r="980" spans="1:16">
      <c r="A980">
        <v>1874</v>
      </c>
      <c r="B980">
        <v>98.207574871363633</v>
      </c>
      <c r="O980">
        <v>2.1539999999999999</v>
      </c>
      <c r="P980" s="6">
        <f t="shared" si="16"/>
        <v>0.98380539339545481</v>
      </c>
    </row>
    <row r="981" spans="1:16">
      <c r="A981">
        <v>1876</v>
      </c>
      <c r="B981">
        <v>98.208318950454526</v>
      </c>
      <c r="O981">
        <v>2.1560000000000001</v>
      </c>
      <c r="P981" s="6">
        <f t="shared" si="16"/>
        <v>0.98381486398636364</v>
      </c>
    </row>
    <row r="982" spans="1:16">
      <c r="A982">
        <v>1878</v>
      </c>
      <c r="B982">
        <v>98.20938305772728</v>
      </c>
      <c r="O982">
        <v>2.1579999999999999</v>
      </c>
      <c r="P982" s="6">
        <f t="shared" si="16"/>
        <v>0.98380438844545448</v>
      </c>
    </row>
    <row r="983" spans="1:16">
      <c r="A983">
        <v>1880</v>
      </c>
      <c r="B983">
        <v>98.209090346818172</v>
      </c>
      <c r="O983">
        <v>2.16</v>
      </c>
      <c r="P983" s="6">
        <f t="shared" si="16"/>
        <v>0.98381994934090911</v>
      </c>
    </row>
    <row r="984" spans="1:16">
      <c r="A984">
        <v>1882</v>
      </c>
      <c r="B984">
        <v>98.208336498636342</v>
      </c>
      <c r="O984">
        <v>2.1619999999999999</v>
      </c>
      <c r="P984" s="6">
        <f t="shared" si="16"/>
        <v>0.98382463760000005</v>
      </c>
    </row>
    <row r="985" spans="1:16">
      <c r="A985">
        <v>1884</v>
      </c>
      <c r="B985">
        <v>98.208090824090917</v>
      </c>
      <c r="O985">
        <v>2.1640000000000001</v>
      </c>
      <c r="P985" s="6">
        <f t="shared" si="16"/>
        <v>0.98384268961363641</v>
      </c>
    </row>
    <row r="986" spans="1:16">
      <c r="A986">
        <v>1886</v>
      </c>
      <c r="B986">
        <v>98.207878346363657</v>
      </c>
      <c r="O986">
        <v>2.1659999999999999</v>
      </c>
      <c r="P986" s="6">
        <f t="shared" si="16"/>
        <v>0.9838809003272726</v>
      </c>
    </row>
    <row r="987" spans="1:16">
      <c r="A987">
        <v>1888</v>
      </c>
      <c r="B987">
        <v>98.205889884090922</v>
      </c>
      <c r="O987">
        <v>2.1680000000000001</v>
      </c>
      <c r="P987" s="6">
        <f t="shared" si="16"/>
        <v>0.98390073610454531</v>
      </c>
    </row>
    <row r="988" spans="1:16">
      <c r="A988">
        <v>1890</v>
      </c>
      <c r="B988">
        <v>98.203574519090921</v>
      </c>
      <c r="O988">
        <v>2.17</v>
      </c>
      <c r="P988" s="6">
        <f t="shared" si="16"/>
        <v>0.98390111872727293</v>
      </c>
    </row>
    <row r="989" spans="1:16">
      <c r="A989">
        <v>1892</v>
      </c>
      <c r="B989">
        <v>98.202501909090913</v>
      </c>
      <c r="O989">
        <v>2.1720000000000002</v>
      </c>
      <c r="P989" s="6">
        <f t="shared" si="16"/>
        <v>0.98389027774999993</v>
      </c>
    </row>
    <row r="990" spans="1:16">
      <c r="A990">
        <v>1894</v>
      </c>
      <c r="B990">
        <v>98.200766448181824</v>
      </c>
      <c r="O990">
        <v>2.1739999999999999</v>
      </c>
      <c r="P990" s="6">
        <f t="shared" si="16"/>
        <v>0.98389863394090904</v>
      </c>
    </row>
    <row r="991" spans="1:16">
      <c r="A991">
        <v>1896</v>
      </c>
      <c r="B991">
        <v>98.200127839090896</v>
      </c>
      <c r="O991">
        <v>2.1760000000000002</v>
      </c>
      <c r="P991" s="6">
        <f t="shared" si="16"/>
        <v>0.98389434639545459</v>
      </c>
    </row>
    <row r="992" spans="1:16">
      <c r="A992">
        <v>1898</v>
      </c>
      <c r="B992">
        <v>98.19986678727274</v>
      </c>
      <c r="O992">
        <v>2.1779999999999999</v>
      </c>
      <c r="P992" s="6">
        <f t="shared" si="16"/>
        <v>0.98388105952727289</v>
      </c>
    </row>
    <row r="993" spans="1:16">
      <c r="A993">
        <v>1900</v>
      </c>
      <c r="B993">
        <v>98.199421208181818</v>
      </c>
      <c r="O993">
        <v>2.1800000000000002</v>
      </c>
      <c r="P993" s="6">
        <f t="shared" si="16"/>
        <v>0.98389153235454541</v>
      </c>
    </row>
    <row r="994" spans="1:16">
      <c r="A994">
        <v>1902</v>
      </c>
      <c r="B994">
        <v>98.201810836363634</v>
      </c>
      <c r="O994">
        <v>2.1819999999999999</v>
      </c>
      <c r="P994" s="6">
        <f t="shared" si="16"/>
        <v>0.98388173522272748</v>
      </c>
    </row>
    <row r="995" spans="1:16">
      <c r="A995">
        <v>1904</v>
      </c>
      <c r="B995">
        <v>98.203214690909107</v>
      </c>
      <c r="O995">
        <v>2.1840000000000002</v>
      </c>
      <c r="P995" s="6">
        <f t="shared" si="16"/>
        <v>0.98388852112272718</v>
      </c>
    </row>
    <row r="996" spans="1:16">
      <c r="A996">
        <v>1906</v>
      </c>
      <c r="B996">
        <v>98.202926140909099</v>
      </c>
      <c r="O996">
        <v>2.1859999999999999</v>
      </c>
      <c r="P996" s="6">
        <f t="shared" si="16"/>
        <v>0.98387686515000017</v>
      </c>
    </row>
    <row r="997" spans="1:16">
      <c r="A997">
        <v>1908</v>
      </c>
      <c r="B997">
        <v>98.203866868181805</v>
      </c>
      <c r="O997">
        <v>2.1880000000000002</v>
      </c>
      <c r="P997" s="6">
        <f t="shared" si="16"/>
        <v>0.98388646418636361</v>
      </c>
    </row>
    <row r="998" spans="1:16">
      <c r="A998">
        <v>1910</v>
      </c>
      <c r="B998">
        <v>98.205535573636382</v>
      </c>
      <c r="O998">
        <v>2.19</v>
      </c>
      <c r="P998" s="6">
        <f t="shared" si="16"/>
        <v>0.98389441695000013</v>
      </c>
    </row>
    <row r="999" spans="1:16">
      <c r="A999">
        <v>1912</v>
      </c>
      <c r="B999">
        <v>98.206059757727289</v>
      </c>
      <c r="O999">
        <v>2.1920000000000002</v>
      </c>
      <c r="P999" s="6">
        <f t="shared" si="16"/>
        <v>0.98393800970909084</v>
      </c>
    </row>
    <row r="1000" spans="1:16">
      <c r="A1000">
        <v>1914</v>
      </c>
      <c r="B1000">
        <v>98.207447149545459</v>
      </c>
      <c r="O1000">
        <v>2.194</v>
      </c>
      <c r="P1000" s="6">
        <f t="shared" si="16"/>
        <v>0.98401055606363641</v>
      </c>
    </row>
    <row r="1001" spans="1:16">
      <c r="A1001">
        <v>1916</v>
      </c>
      <c r="B1001">
        <v>98.209829993636362</v>
      </c>
      <c r="O1001">
        <v>2.1960000000000002</v>
      </c>
      <c r="P1001" s="6">
        <f t="shared" si="16"/>
        <v>0.98401798871363644</v>
      </c>
    </row>
    <row r="1002" spans="1:16">
      <c r="A1002">
        <v>1918</v>
      </c>
      <c r="B1002">
        <v>98.211752062272751</v>
      </c>
      <c r="O1002">
        <v>2.198</v>
      </c>
      <c r="P1002" s="6">
        <f t="shared" si="16"/>
        <v>0.98402516447272714</v>
      </c>
    </row>
    <row r="1003" spans="1:16">
      <c r="A1003">
        <v>1920</v>
      </c>
      <c r="B1003">
        <v>98.213773450000005</v>
      </c>
      <c r="O1003">
        <v>2.2000000000000002</v>
      </c>
      <c r="P1003" s="6">
        <f t="shared" si="16"/>
        <v>0.98406594319090912</v>
      </c>
    </row>
    <row r="1004" spans="1:16">
      <c r="A1004">
        <v>1922</v>
      </c>
      <c r="B1004">
        <v>98.215327639999984</v>
      </c>
      <c r="O1004">
        <v>2.202</v>
      </c>
      <c r="P1004" s="6">
        <f t="shared" si="16"/>
        <v>0.98411739283181821</v>
      </c>
    </row>
    <row r="1005" spans="1:16">
      <c r="A1005">
        <v>1924</v>
      </c>
      <c r="B1005">
        <v>98.215581998181804</v>
      </c>
      <c r="O1005">
        <v>2.2040000000000002</v>
      </c>
      <c r="P1005" s="6">
        <f t="shared" si="16"/>
        <v>0.98415004873181833</v>
      </c>
    </row>
    <row r="1006" spans="1:16">
      <c r="A1006">
        <v>1926</v>
      </c>
      <c r="B1006">
        <v>98.216903448636359</v>
      </c>
      <c r="O1006">
        <v>2.206</v>
      </c>
      <c r="P1006" s="6">
        <f t="shared" si="16"/>
        <v>0.98415443758636367</v>
      </c>
    </row>
    <row r="1007" spans="1:16">
      <c r="A1007">
        <v>1928</v>
      </c>
      <c r="B1007">
        <v>98.218252849545451</v>
      </c>
      <c r="O1007">
        <v>2.2080000000000002</v>
      </c>
      <c r="P1007" s="6">
        <f t="shared" si="16"/>
        <v>0.9841807978499999</v>
      </c>
    </row>
    <row r="1008" spans="1:16">
      <c r="A1008">
        <v>1930</v>
      </c>
      <c r="B1008">
        <v>98.219135233636365</v>
      </c>
      <c r="O1008">
        <v>2.21</v>
      </c>
      <c r="P1008" s="6">
        <f t="shared" si="16"/>
        <v>0.98418392124545451</v>
      </c>
    </row>
    <row r="1009" spans="1:16">
      <c r="A1009">
        <v>1932</v>
      </c>
      <c r="B1009">
        <v>98.221409713181799</v>
      </c>
      <c r="O1009">
        <v>2.2120000000000002</v>
      </c>
      <c r="P1009" s="6">
        <f t="shared" si="16"/>
        <v>0.98419362882727268</v>
      </c>
    </row>
    <row r="1010" spans="1:16">
      <c r="A1010">
        <v>1934</v>
      </c>
      <c r="B1010">
        <v>98.227186773636376</v>
      </c>
      <c r="O1010">
        <v>2.214</v>
      </c>
      <c r="P1010" s="6">
        <f t="shared" si="16"/>
        <v>0.98417715705454545</v>
      </c>
    </row>
    <row r="1011" spans="1:16">
      <c r="A1011">
        <v>1936</v>
      </c>
      <c r="B1011">
        <v>98.232959944545456</v>
      </c>
      <c r="O1011">
        <v>2.2160000000000002</v>
      </c>
      <c r="P1011" s="6">
        <f t="shared" si="16"/>
        <v>0.98414524830909078</v>
      </c>
    </row>
    <row r="1012" spans="1:16">
      <c r="A1012">
        <v>1938</v>
      </c>
      <c r="B1012">
        <v>98.23857111136364</v>
      </c>
      <c r="O1012">
        <v>2.218</v>
      </c>
      <c r="P1012" s="6">
        <f t="shared" si="16"/>
        <v>0.98416291950909085</v>
      </c>
    </row>
    <row r="1013" spans="1:16">
      <c r="A1013">
        <v>1940</v>
      </c>
      <c r="B1013">
        <v>98.244646490909105</v>
      </c>
      <c r="O1013">
        <v>2.2200000000000002</v>
      </c>
      <c r="P1013" s="6">
        <f t="shared" si="16"/>
        <v>0.98418193305454549</v>
      </c>
    </row>
    <row r="1014" spans="1:16">
      <c r="A1014">
        <v>1942</v>
      </c>
      <c r="B1014">
        <v>98.252053270909087</v>
      </c>
      <c r="O1014">
        <v>2.222</v>
      </c>
      <c r="P1014" s="6">
        <f t="shared" si="16"/>
        <v>0.98417288850454554</v>
      </c>
    </row>
    <row r="1015" spans="1:16">
      <c r="A1015">
        <v>1944</v>
      </c>
      <c r="B1015">
        <v>98.258527012272722</v>
      </c>
      <c r="O1015">
        <v>2.2240000000000002</v>
      </c>
      <c r="P1015" s="6">
        <f t="shared" si="16"/>
        <v>0.98410920307727268</v>
      </c>
    </row>
    <row r="1016" spans="1:16">
      <c r="A1016">
        <v>1946</v>
      </c>
      <c r="B1016">
        <v>98.265052493636375</v>
      </c>
      <c r="O1016">
        <v>2.226</v>
      </c>
      <c r="P1016" s="6">
        <f t="shared" si="16"/>
        <v>0.98408617244545438</v>
      </c>
    </row>
    <row r="1017" spans="1:16">
      <c r="A1017">
        <v>1948</v>
      </c>
      <c r="B1017">
        <v>98.271999945454567</v>
      </c>
      <c r="O1017">
        <v>2.2280000000000002</v>
      </c>
      <c r="P1017" s="6">
        <f t="shared" si="16"/>
        <v>0.98409685331818197</v>
      </c>
    </row>
    <row r="1018" spans="1:16">
      <c r="A1018">
        <v>1950</v>
      </c>
      <c r="B1018">
        <v>98.279572799999997</v>
      </c>
      <c r="O1018">
        <v>2.23</v>
      </c>
      <c r="P1018" s="6">
        <f t="shared" si="16"/>
        <v>0.98407693974999999</v>
      </c>
    </row>
    <row r="1019" spans="1:16">
      <c r="A1019">
        <v>1952</v>
      </c>
      <c r="B1019">
        <v>98.286393796363654</v>
      </c>
      <c r="O1019">
        <v>2.2320000000000002</v>
      </c>
      <c r="P1019" s="6">
        <f t="shared" si="16"/>
        <v>0.98407843315454546</v>
      </c>
    </row>
    <row r="1020" spans="1:16">
      <c r="A1020">
        <v>1954</v>
      </c>
      <c r="B1020">
        <v>98.292122554090909</v>
      </c>
      <c r="O1020">
        <v>2.234</v>
      </c>
      <c r="P1020" s="6">
        <f t="shared" si="16"/>
        <v>0.98407411485454543</v>
      </c>
    </row>
    <row r="1021" spans="1:16">
      <c r="A1021">
        <v>1956</v>
      </c>
      <c r="B1021">
        <v>98.295841140454527</v>
      </c>
      <c r="O1021">
        <v>2.2360000000000002</v>
      </c>
      <c r="P1021" s="6">
        <f t="shared" si="16"/>
        <v>0.98411201259545455</v>
      </c>
    </row>
    <row r="1022" spans="1:16">
      <c r="A1022">
        <v>1958</v>
      </c>
      <c r="B1022">
        <v>98.298439175909067</v>
      </c>
      <c r="O1022">
        <v>2.238</v>
      </c>
      <c r="P1022" s="6">
        <f t="shared" si="16"/>
        <v>0.9841416138454544</v>
      </c>
    </row>
    <row r="1023" spans="1:16">
      <c r="A1023">
        <v>1960</v>
      </c>
      <c r="B1023">
        <v>98.300162606363642</v>
      </c>
      <c r="O1023">
        <v>2.2400000000000002</v>
      </c>
      <c r="P1023" s="6">
        <f t="shared" si="16"/>
        <v>0.98419803215454538</v>
      </c>
    </row>
    <row r="1024" spans="1:16">
      <c r="A1024">
        <v>1962</v>
      </c>
      <c r="B1024">
        <v>98.302512072727282</v>
      </c>
      <c r="O1024">
        <v>2.242</v>
      </c>
      <c r="P1024" s="6">
        <f t="shared" si="16"/>
        <v>0.98418613285909073</v>
      </c>
    </row>
    <row r="1025" spans="1:16">
      <c r="A1025">
        <v>1964</v>
      </c>
      <c r="B1025">
        <v>98.303408386818191</v>
      </c>
      <c r="O1025">
        <v>2.2440000000000002</v>
      </c>
      <c r="P1025" s="6">
        <f t="shared" si="16"/>
        <v>0.98419776893181821</v>
      </c>
    </row>
    <row r="1026" spans="1:16">
      <c r="A1026">
        <v>1966</v>
      </c>
      <c r="B1026">
        <v>98.304777778181816</v>
      </c>
      <c r="O1026">
        <v>2.246</v>
      </c>
      <c r="P1026" s="6">
        <f t="shared" si="16"/>
        <v>0.98426762969090897</v>
      </c>
    </row>
    <row r="1027" spans="1:16">
      <c r="A1027">
        <v>1968</v>
      </c>
      <c r="B1027">
        <v>98.306611653636381</v>
      </c>
      <c r="O1027">
        <v>2.2480000000000002</v>
      </c>
      <c r="P1027" s="6">
        <f t="shared" si="16"/>
        <v>0.98431305415454562</v>
      </c>
    </row>
    <row r="1028" spans="1:16">
      <c r="A1028">
        <v>1970</v>
      </c>
      <c r="B1028">
        <v>98.308090585454551</v>
      </c>
      <c r="O1028">
        <v>2.25</v>
      </c>
      <c r="P1028" s="6">
        <f t="shared" ref="P1028:P1091" si="17">B1168/100</f>
        <v>0.98434244916818192</v>
      </c>
    </row>
    <row r="1029" spans="1:16">
      <c r="A1029">
        <v>1972</v>
      </c>
      <c r="B1029">
        <v>98.309259258181825</v>
      </c>
      <c r="O1029">
        <v>2.2519999999999998</v>
      </c>
      <c r="P1029" s="6">
        <f t="shared" si="17"/>
        <v>0.98438509124999996</v>
      </c>
    </row>
    <row r="1030" spans="1:16">
      <c r="A1030">
        <v>1974</v>
      </c>
      <c r="B1030">
        <v>98.311326415909079</v>
      </c>
      <c r="O1030">
        <v>2.254</v>
      </c>
      <c r="P1030" s="6">
        <f t="shared" si="17"/>
        <v>0.98439521492272719</v>
      </c>
    </row>
    <row r="1031" spans="1:16">
      <c r="A1031">
        <v>1976</v>
      </c>
      <c r="B1031">
        <v>98.312615121818169</v>
      </c>
      <c r="O1031">
        <v>2.2559999999999998</v>
      </c>
      <c r="P1031" s="6">
        <f t="shared" si="17"/>
        <v>0.98439154427727293</v>
      </c>
    </row>
    <row r="1032" spans="1:16">
      <c r="A1032">
        <v>1978</v>
      </c>
      <c r="B1032">
        <v>98.313017554090905</v>
      </c>
      <c r="O1032">
        <v>2.258</v>
      </c>
      <c r="P1032" s="6">
        <f t="shared" si="17"/>
        <v>0.98433378814545447</v>
      </c>
    </row>
    <row r="1033" spans="1:16">
      <c r="A1033">
        <v>1980</v>
      </c>
      <c r="B1033">
        <v>98.313755482272725</v>
      </c>
      <c r="O1033">
        <v>2.2599999999999998</v>
      </c>
      <c r="P1033" s="6">
        <f t="shared" si="17"/>
        <v>0.9843291984818181</v>
      </c>
    </row>
    <row r="1034" spans="1:16">
      <c r="A1034">
        <v>1982</v>
      </c>
      <c r="B1034">
        <v>98.313874791818193</v>
      </c>
      <c r="O1034">
        <v>2.262</v>
      </c>
      <c r="P1034" s="6">
        <f t="shared" si="17"/>
        <v>0.98429629202272706</v>
      </c>
    </row>
    <row r="1035" spans="1:16">
      <c r="A1035">
        <v>1984</v>
      </c>
      <c r="B1035">
        <v>98.312502415454532</v>
      </c>
      <c r="O1035">
        <v>2.2639999999999998</v>
      </c>
      <c r="P1035" s="6">
        <f t="shared" si="17"/>
        <v>0.98431350914090898</v>
      </c>
    </row>
    <row r="1036" spans="1:16">
      <c r="A1036">
        <v>1986</v>
      </c>
      <c r="B1036">
        <v>98.312741034545468</v>
      </c>
      <c r="O1036">
        <v>2.266</v>
      </c>
      <c r="P1036" s="6">
        <f t="shared" si="17"/>
        <v>0.98432784618636349</v>
      </c>
    </row>
    <row r="1037" spans="1:16">
      <c r="A1037">
        <v>1988</v>
      </c>
      <c r="B1037">
        <v>98.313338577272717</v>
      </c>
      <c r="O1037">
        <v>2.2679999999999998</v>
      </c>
      <c r="P1037" s="6">
        <f t="shared" si="17"/>
        <v>0.98430508058636368</v>
      </c>
    </row>
    <row r="1038" spans="1:16">
      <c r="A1038">
        <v>1990</v>
      </c>
      <c r="B1038">
        <v>98.313573125909102</v>
      </c>
      <c r="O1038">
        <v>2.27</v>
      </c>
      <c r="P1038" s="6">
        <f t="shared" si="17"/>
        <v>0.98429364080000004</v>
      </c>
    </row>
    <row r="1039" spans="1:16">
      <c r="A1039">
        <v>1992</v>
      </c>
      <c r="B1039">
        <v>98.314102737272734</v>
      </c>
      <c r="O1039">
        <v>2.2719999999999998</v>
      </c>
      <c r="P1039" s="6">
        <f t="shared" si="17"/>
        <v>0.98427532465909096</v>
      </c>
    </row>
    <row r="1040" spans="1:16">
      <c r="A1040">
        <v>1994</v>
      </c>
      <c r="B1040">
        <v>98.314695576363647</v>
      </c>
      <c r="O1040">
        <v>2.274</v>
      </c>
      <c r="P1040" s="6">
        <f t="shared" si="17"/>
        <v>0.98427477921818196</v>
      </c>
    </row>
    <row r="1041" spans="1:16">
      <c r="A1041">
        <v>1996</v>
      </c>
      <c r="B1041">
        <v>98.314237243181836</v>
      </c>
      <c r="O1041">
        <v>2.2759999999999998</v>
      </c>
      <c r="P1041" s="6">
        <f t="shared" si="17"/>
        <v>0.98425594386818172</v>
      </c>
    </row>
    <row r="1042" spans="1:16">
      <c r="A1042">
        <v>1998</v>
      </c>
      <c r="B1042">
        <v>98.313825222727274</v>
      </c>
      <c r="O1042">
        <v>2.278</v>
      </c>
      <c r="P1042" s="6">
        <f t="shared" si="17"/>
        <v>0.98426104640909085</v>
      </c>
    </row>
    <row r="1043" spans="1:16">
      <c r="A1043">
        <v>2000</v>
      </c>
      <c r="B1043">
        <v>98.315435132727288</v>
      </c>
      <c r="O1043">
        <v>2.2799999999999998</v>
      </c>
      <c r="P1043" s="6">
        <f t="shared" si="17"/>
        <v>0.98432157406818188</v>
      </c>
    </row>
    <row r="1044" spans="1:16">
      <c r="A1044">
        <v>2002</v>
      </c>
      <c r="B1044">
        <v>98.317689893181822</v>
      </c>
      <c r="O1044">
        <v>2.282</v>
      </c>
      <c r="P1044" s="6">
        <f t="shared" si="17"/>
        <v>0.98434462460000005</v>
      </c>
    </row>
    <row r="1045" spans="1:16">
      <c r="A1045">
        <v>2004</v>
      </c>
      <c r="B1045">
        <v>98.319534623181809</v>
      </c>
      <c r="O1045">
        <v>2.2839999999999998</v>
      </c>
      <c r="P1045" s="6">
        <f t="shared" si="17"/>
        <v>0.98434160522727288</v>
      </c>
    </row>
    <row r="1046" spans="1:16">
      <c r="A1046">
        <v>2006</v>
      </c>
      <c r="B1046">
        <v>98.321109889090906</v>
      </c>
      <c r="O1046">
        <v>2.286</v>
      </c>
      <c r="P1046" s="6">
        <f t="shared" si="17"/>
        <v>0.98433678038181815</v>
      </c>
    </row>
    <row r="1047" spans="1:16">
      <c r="A1047">
        <v>2008</v>
      </c>
      <c r="B1047">
        <v>98.321014911818196</v>
      </c>
      <c r="O1047">
        <v>2.2879999999999998</v>
      </c>
      <c r="P1047" s="6">
        <f t="shared" si="17"/>
        <v>0.98432443333636366</v>
      </c>
    </row>
    <row r="1048" spans="1:16">
      <c r="A1048">
        <v>2010</v>
      </c>
      <c r="B1048">
        <v>98.321242224090923</v>
      </c>
      <c r="O1048">
        <v>2.29</v>
      </c>
      <c r="P1048" s="6">
        <f t="shared" si="17"/>
        <v>0.9843223094636363</v>
      </c>
    </row>
    <row r="1049" spans="1:16">
      <c r="A1049">
        <v>2012</v>
      </c>
      <c r="B1049">
        <v>98.321727784090911</v>
      </c>
      <c r="O1049">
        <v>2.2919999999999998</v>
      </c>
      <c r="P1049" s="6">
        <f t="shared" si="17"/>
        <v>0.98432065414545467</v>
      </c>
    </row>
    <row r="1050" spans="1:16">
      <c r="A1050">
        <v>2014</v>
      </c>
      <c r="B1050">
        <v>98.321381705000007</v>
      </c>
      <c r="O1050">
        <v>2.294</v>
      </c>
      <c r="P1050" s="6">
        <f t="shared" si="17"/>
        <v>0.98431677635909098</v>
      </c>
    </row>
    <row r="1051" spans="1:16">
      <c r="A1051">
        <v>2016</v>
      </c>
      <c r="B1051">
        <v>98.321842570909084</v>
      </c>
      <c r="O1051">
        <v>2.2959999999999998</v>
      </c>
      <c r="P1051" s="6">
        <f t="shared" si="17"/>
        <v>0.98430893666363639</v>
      </c>
    </row>
    <row r="1052" spans="1:16">
      <c r="A1052">
        <v>2018</v>
      </c>
      <c r="B1052">
        <v>98.322119000000001</v>
      </c>
      <c r="O1052">
        <v>2.298</v>
      </c>
      <c r="P1052" s="6">
        <f t="shared" si="17"/>
        <v>0.98435730723181825</v>
      </c>
    </row>
    <row r="1053" spans="1:16">
      <c r="A1053">
        <v>2020</v>
      </c>
      <c r="B1053">
        <v>98.323121959999995</v>
      </c>
      <c r="O1053">
        <v>2.2999999999999998</v>
      </c>
      <c r="P1053" s="6">
        <f t="shared" si="17"/>
        <v>0.98436541738636363</v>
      </c>
    </row>
    <row r="1054" spans="1:16">
      <c r="A1054">
        <v>2022</v>
      </c>
      <c r="B1054">
        <v>98.322659918181841</v>
      </c>
      <c r="O1054">
        <v>2.302</v>
      </c>
      <c r="P1054" s="6">
        <f t="shared" si="17"/>
        <v>0.98436655439999998</v>
      </c>
    </row>
    <row r="1055" spans="1:16">
      <c r="A1055">
        <v>2024</v>
      </c>
      <c r="B1055">
        <v>98.321399072272726</v>
      </c>
      <c r="O1055">
        <v>2.3039999999999998</v>
      </c>
      <c r="P1055" s="6">
        <f t="shared" si="17"/>
        <v>0.98434258575454536</v>
      </c>
    </row>
    <row r="1056" spans="1:16">
      <c r="A1056">
        <v>2026</v>
      </c>
      <c r="B1056">
        <v>98.321825022727268</v>
      </c>
      <c r="O1056">
        <v>2.306</v>
      </c>
      <c r="P1056" s="6">
        <f t="shared" si="17"/>
        <v>0.98433399528636367</v>
      </c>
    </row>
    <row r="1057" spans="1:16">
      <c r="A1057">
        <v>2028</v>
      </c>
      <c r="B1057">
        <v>98.323101788636393</v>
      </c>
      <c r="O1057">
        <v>2.3079999999999998</v>
      </c>
      <c r="P1057" s="6">
        <f t="shared" si="17"/>
        <v>0.98434898993636366</v>
      </c>
    </row>
    <row r="1058" spans="1:16">
      <c r="A1058">
        <v>2030</v>
      </c>
      <c r="B1058">
        <v>98.324688904090905</v>
      </c>
      <c r="O1058">
        <v>2.31</v>
      </c>
      <c r="P1058" s="6">
        <f t="shared" si="17"/>
        <v>0.98436844309090898</v>
      </c>
    </row>
    <row r="1059" spans="1:16">
      <c r="A1059">
        <v>2032</v>
      </c>
      <c r="B1059">
        <v>98.324994278636382</v>
      </c>
      <c r="O1059">
        <v>2.3119999999999998</v>
      </c>
      <c r="P1059" s="6">
        <f t="shared" si="17"/>
        <v>0.98440507175454517</v>
      </c>
    </row>
    <row r="1060" spans="1:16">
      <c r="A1060">
        <v>2034</v>
      </c>
      <c r="B1060">
        <v>98.325025756818178</v>
      </c>
      <c r="O1060">
        <v>2.3140000000000001</v>
      </c>
      <c r="P1060" s="6">
        <f t="shared" si="17"/>
        <v>0.98442010077727271</v>
      </c>
    </row>
    <row r="1061" spans="1:16">
      <c r="A1061">
        <v>2036</v>
      </c>
      <c r="B1061">
        <v>98.326221656363629</v>
      </c>
      <c r="O1061">
        <v>2.3159999999999998</v>
      </c>
      <c r="P1061" s="6">
        <f t="shared" si="17"/>
        <v>0.9843977386045456</v>
      </c>
    </row>
    <row r="1062" spans="1:16">
      <c r="A1062">
        <v>2038</v>
      </c>
      <c r="B1062">
        <v>98.326835390454534</v>
      </c>
      <c r="O1062">
        <v>2.3180000000000001</v>
      </c>
      <c r="P1062" s="6">
        <f t="shared" si="17"/>
        <v>0.98437953643636344</v>
      </c>
    </row>
    <row r="1063" spans="1:16">
      <c r="A1063">
        <v>2040</v>
      </c>
      <c r="B1063">
        <v>98.327384901818192</v>
      </c>
      <c r="O1063">
        <v>2.3199999999999998</v>
      </c>
      <c r="P1063" s="6">
        <f t="shared" si="17"/>
        <v>0.98432910893181824</v>
      </c>
    </row>
    <row r="1064" spans="1:16">
      <c r="A1064">
        <v>2042</v>
      </c>
      <c r="B1064">
        <v>98.328194379545451</v>
      </c>
      <c r="O1064">
        <v>2.3220000000000001</v>
      </c>
      <c r="P1064" s="6">
        <f t="shared" si="17"/>
        <v>0.98432929798181801</v>
      </c>
    </row>
    <row r="1065" spans="1:16">
      <c r="A1065">
        <v>2044</v>
      </c>
      <c r="B1065">
        <v>98.329185037727285</v>
      </c>
      <c r="O1065">
        <v>2.3239999999999998</v>
      </c>
      <c r="P1065" s="6">
        <f t="shared" si="17"/>
        <v>0.98432308375454525</v>
      </c>
    </row>
    <row r="1066" spans="1:16">
      <c r="A1066">
        <v>2046</v>
      </c>
      <c r="B1066">
        <v>98.331016109090911</v>
      </c>
      <c r="O1066">
        <v>2.3260000000000001</v>
      </c>
      <c r="P1066" s="6">
        <f t="shared" si="17"/>
        <v>0.98433572296818195</v>
      </c>
    </row>
    <row r="1067" spans="1:16">
      <c r="A1067">
        <v>2048</v>
      </c>
      <c r="B1067">
        <v>98.331951951818183</v>
      </c>
      <c r="O1067">
        <v>2.3279999999999998</v>
      </c>
      <c r="P1067" s="6">
        <f t="shared" si="17"/>
        <v>0.9843577441272725</v>
      </c>
    </row>
    <row r="1068" spans="1:16">
      <c r="A1068">
        <v>2050</v>
      </c>
      <c r="B1068">
        <v>98.332159454545447</v>
      </c>
      <c r="O1068">
        <v>2.33</v>
      </c>
      <c r="P1068" s="6">
        <f t="shared" si="17"/>
        <v>0.98436306737727253</v>
      </c>
    </row>
    <row r="1069" spans="1:16">
      <c r="A1069">
        <v>2052</v>
      </c>
      <c r="B1069">
        <v>98.332840034545455</v>
      </c>
      <c r="O1069">
        <v>2.3319999999999999</v>
      </c>
      <c r="P1069" s="6">
        <f t="shared" si="17"/>
        <v>0.9843438412636365</v>
      </c>
    </row>
    <row r="1070" spans="1:16">
      <c r="A1070">
        <v>2054</v>
      </c>
      <c r="B1070">
        <v>98.335250467272729</v>
      </c>
      <c r="O1070">
        <v>2.3340000000000001</v>
      </c>
      <c r="P1070" s="6">
        <f t="shared" si="17"/>
        <v>0.98431720601818173</v>
      </c>
    </row>
    <row r="1071" spans="1:16">
      <c r="A1071">
        <v>2056</v>
      </c>
      <c r="B1071">
        <v>98.337846603181816</v>
      </c>
      <c r="O1071">
        <v>2.3359999999999999</v>
      </c>
      <c r="P1071" s="6">
        <f t="shared" si="17"/>
        <v>0.98432935315909076</v>
      </c>
    </row>
    <row r="1072" spans="1:16">
      <c r="A1072">
        <v>2058</v>
      </c>
      <c r="B1072">
        <v>98.338573134090908</v>
      </c>
      <c r="O1072">
        <v>2.3380000000000001</v>
      </c>
      <c r="P1072" s="6">
        <f t="shared" si="17"/>
        <v>0.98437319104999998</v>
      </c>
    </row>
    <row r="1073" spans="1:16">
      <c r="A1073">
        <v>2060</v>
      </c>
      <c r="B1073">
        <v>98.34073092727273</v>
      </c>
      <c r="O1073">
        <v>2.34</v>
      </c>
      <c r="P1073" s="6">
        <f t="shared" si="17"/>
        <v>0.98441120999999976</v>
      </c>
    </row>
    <row r="1074" spans="1:16">
      <c r="A1074">
        <v>2062</v>
      </c>
      <c r="B1074">
        <v>98.344072137272732</v>
      </c>
      <c r="O1074">
        <v>2.3420000000000001</v>
      </c>
      <c r="P1074" s="6">
        <f t="shared" si="17"/>
        <v>0.98444824480454529</v>
      </c>
    </row>
    <row r="1075" spans="1:16">
      <c r="A1075">
        <v>2064</v>
      </c>
      <c r="B1075">
        <v>98.345758390909069</v>
      </c>
      <c r="O1075">
        <v>2.3439999999999999</v>
      </c>
      <c r="P1075" s="6">
        <f t="shared" si="17"/>
        <v>0.98447203977727282</v>
      </c>
    </row>
    <row r="1076" spans="1:16">
      <c r="A1076">
        <v>2066</v>
      </c>
      <c r="B1076">
        <v>98.348252403636366</v>
      </c>
      <c r="O1076">
        <v>2.3460000000000001</v>
      </c>
      <c r="P1076" s="6">
        <f t="shared" si="17"/>
        <v>0.98446933880454557</v>
      </c>
    </row>
    <row r="1077" spans="1:16">
      <c r="A1077">
        <v>2068</v>
      </c>
      <c r="B1077">
        <v>98.350171396818169</v>
      </c>
      <c r="O1077">
        <v>2.3479999999999999</v>
      </c>
      <c r="P1077" s="6">
        <f t="shared" si="17"/>
        <v>0.98443778644999991</v>
      </c>
    </row>
    <row r="1078" spans="1:16">
      <c r="A1078">
        <v>2070</v>
      </c>
      <c r="B1078">
        <v>98.350917737272724</v>
      </c>
      <c r="O1078">
        <v>2.35</v>
      </c>
      <c r="P1078" s="6">
        <f t="shared" si="17"/>
        <v>0.98440800610000001</v>
      </c>
    </row>
    <row r="1079" spans="1:16">
      <c r="A1079">
        <v>2072</v>
      </c>
      <c r="B1079">
        <v>98.352197759545462</v>
      </c>
      <c r="O1079">
        <v>2.3519999999999999</v>
      </c>
      <c r="P1079" s="6">
        <f t="shared" si="17"/>
        <v>0.98439358221818185</v>
      </c>
    </row>
    <row r="1080" spans="1:16">
      <c r="A1080">
        <v>2074</v>
      </c>
      <c r="B1080">
        <v>98.353806403181835</v>
      </c>
      <c r="O1080">
        <v>2.3540000000000001</v>
      </c>
      <c r="P1080" s="6">
        <f t="shared" si="17"/>
        <v>0.98440251731818185</v>
      </c>
    </row>
    <row r="1081" spans="1:16">
      <c r="A1081">
        <v>2076</v>
      </c>
      <c r="B1081">
        <v>98.353441871363657</v>
      </c>
      <c r="O1081">
        <v>2.3559999999999999</v>
      </c>
      <c r="P1081" s="6">
        <f t="shared" si="17"/>
        <v>0.98439400825909118</v>
      </c>
    </row>
    <row r="1082" spans="1:16">
      <c r="A1082">
        <v>2078</v>
      </c>
      <c r="B1082">
        <v>98.354395714545447</v>
      </c>
      <c r="O1082">
        <v>2.3580000000000001</v>
      </c>
      <c r="P1082" s="6">
        <f t="shared" si="17"/>
        <v>0.98435455831818186</v>
      </c>
    </row>
    <row r="1083" spans="1:16">
      <c r="A1083">
        <v>2080</v>
      </c>
      <c r="B1083">
        <v>98.356452741363626</v>
      </c>
      <c r="O1083">
        <v>2.36</v>
      </c>
      <c r="P1083" s="6">
        <f t="shared" si="17"/>
        <v>0.98435534165454552</v>
      </c>
    </row>
    <row r="1084" spans="1:16">
      <c r="A1084">
        <v>2082</v>
      </c>
      <c r="B1084">
        <v>98.355559140909079</v>
      </c>
      <c r="O1084">
        <v>2.3620000000000001</v>
      </c>
      <c r="P1084" s="6">
        <f t="shared" si="17"/>
        <v>0.98433421690000023</v>
      </c>
    </row>
    <row r="1085" spans="1:16">
      <c r="A1085">
        <v>2084</v>
      </c>
      <c r="B1085">
        <v>98.355851399545472</v>
      </c>
      <c r="O1085">
        <v>2.3639999999999999</v>
      </c>
      <c r="P1085" s="6">
        <f t="shared" si="17"/>
        <v>0.98432577839545454</v>
      </c>
    </row>
    <row r="1086" spans="1:16">
      <c r="A1086">
        <v>2086</v>
      </c>
      <c r="B1086">
        <v>98.357383337727271</v>
      </c>
      <c r="O1086">
        <v>2.3660000000000001</v>
      </c>
      <c r="P1086" s="6">
        <f t="shared" si="17"/>
        <v>0.9843081596590908</v>
      </c>
    </row>
    <row r="1087" spans="1:16">
      <c r="A1087">
        <v>2088</v>
      </c>
      <c r="B1087">
        <v>98.356156593181822</v>
      </c>
      <c r="O1087">
        <v>2.3679999999999999</v>
      </c>
      <c r="P1087" s="6">
        <f t="shared" si="17"/>
        <v>0.98430873404545483</v>
      </c>
    </row>
    <row r="1088" spans="1:16">
      <c r="A1088">
        <v>2090</v>
      </c>
      <c r="B1088">
        <v>98.356106571818174</v>
      </c>
      <c r="O1088">
        <v>2.37</v>
      </c>
      <c r="P1088" s="6">
        <f t="shared" si="17"/>
        <v>0.98436914501818185</v>
      </c>
    </row>
    <row r="1089" spans="1:16">
      <c r="A1089">
        <v>2092</v>
      </c>
      <c r="B1089">
        <v>98.356649118181807</v>
      </c>
      <c r="O1089">
        <v>2.3719999999999999</v>
      </c>
      <c r="P1089" s="6">
        <f t="shared" si="17"/>
        <v>0.98441685888636354</v>
      </c>
    </row>
    <row r="1090" spans="1:16">
      <c r="A1090">
        <v>2094</v>
      </c>
      <c r="B1090">
        <v>98.357767317272717</v>
      </c>
      <c r="O1090">
        <v>2.3740000000000001</v>
      </c>
      <c r="P1090" s="6">
        <f t="shared" si="17"/>
        <v>0.98442860621818185</v>
      </c>
    </row>
    <row r="1091" spans="1:16">
      <c r="A1091">
        <v>2096</v>
      </c>
      <c r="B1091">
        <v>98.357475149090902</v>
      </c>
      <c r="O1091">
        <v>2.3759999999999999</v>
      </c>
      <c r="P1091" s="6">
        <f t="shared" si="17"/>
        <v>0.98441074415909102</v>
      </c>
    </row>
    <row r="1092" spans="1:16">
      <c r="A1092">
        <v>2098</v>
      </c>
      <c r="B1092">
        <v>98.359877079090907</v>
      </c>
      <c r="O1092">
        <v>2.3780000000000001</v>
      </c>
      <c r="P1092" s="6">
        <f t="shared" ref="P1092:P1155" si="18">B1232/100</f>
        <v>0.98441240219090898</v>
      </c>
    </row>
    <row r="1093" spans="1:16">
      <c r="A1093">
        <v>2100</v>
      </c>
      <c r="B1093">
        <v>98.360526723636355</v>
      </c>
      <c r="O1093">
        <v>2.38</v>
      </c>
      <c r="P1093" s="6">
        <f t="shared" si="18"/>
        <v>0.98445406826818171</v>
      </c>
    </row>
    <row r="1094" spans="1:16">
      <c r="A1094">
        <v>2102</v>
      </c>
      <c r="B1094">
        <v>98.36149087863636</v>
      </c>
      <c r="O1094">
        <v>2.3820000000000001</v>
      </c>
      <c r="P1094" s="6">
        <f t="shared" si="18"/>
        <v>0.98444565056818167</v>
      </c>
    </row>
    <row r="1095" spans="1:16">
      <c r="A1095">
        <v>2104</v>
      </c>
      <c r="B1095">
        <v>98.362923678636349</v>
      </c>
      <c r="O1095">
        <v>2.3839999999999999</v>
      </c>
      <c r="P1095" s="6">
        <f t="shared" si="18"/>
        <v>0.98444026671363649</v>
      </c>
    </row>
    <row r="1096" spans="1:16">
      <c r="A1096">
        <v>2106</v>
      </c>
      <c r="B1096">
        <v>98.36150137136363</v>
      </c>
      <c r="O1096">
        <v>2.3860000000000001</v>
      </c>
      <c r="P1096" s="6">
        <f t="shared" si="18"/>
        <v>0.98445987997272721</v>
      </c>
    </row>
    <row r="1097" spans="1:16">
      <c r="A1097">
        <v>2108</v>
      </c>
      <c r="B1097">
        <v>98.359447691363641</v>
      </c>
      <c r="O1097">
        <v>2.3879999999999999</v>
      </c>
      <c r="P1097" s="6">
        <f t="shared" si="18"/>
        <v>0.98450847577272727</v>
      </c>
    </row>
    <row r="1098" spans="1:16">
      <c r="A1098">
        <v>2110</v>
      </c>
      <c r="B1098">
        <v>98.361206579999987</v>
      </c>
      <c r="O1098">
        <v>2.39</v>
      </c>
      <c r="P1098" s="6">
        <f t="shared" si="18"/>
        <v>0.98454662045454522</v>
      </c>
    </row>
    <row r="1099" spans="1:16">
      <c r="A1099">
        <v>2112</v>
      </c>
      <c r="B1099">
        <v>98.36275262909092</v>
      </c>
      <c r="O1099">
        <v>2.3919999999999999</v>
      </c>
      <c r="P1099" s="6">
        <f t="shared" si="18"/>
        <v>0.98453786174090896</v>
      </c>
    </row>
    <row r="1100" spans="1:16">
      <c r="A1100">
        <v>2114</v>
      </c>
      <c r="B1100">
        <v>98.364517668636367</v>
      </c>
      <c r="O1100">
        <v>2.3940000000000001</v>
      </c>
      <c r="P1100" s="6">
        <f t="shared" si="18"/>
        <v>0.98451912046363632</v>
      </c>
    </row>
    <row r="1101" spans="1:16">
      <c r="A1101">
        <v>2116</v>
      </c>
      <c r="B1101">
        <v>98.365689959545463</v>
      </c>
      <c r="O1101">
        <v>2.3959999999999999</v>
      </c>
      <c r="P1101" s="6">
        <f t="shared" si="18"/>
        <v>0.98450974213636366</v>
      </c>
    </row>
    <row r="1102" spans="1:16">
      <c r="A1102">
        <v>2118</v>
      </c>
      <c r="B1102">
        <v>98.366790248636363</v>
      </c>
      <c r="O1102">
        <v>2.3980000000000001</v>
      </c>
      <c r="P1102" s="6">
        <f t="shared" si="18"/>
        <v>0.98453112106818186</v>
      </c>
    </row>
    <row r="1103" spans="1:16">
      <c r="A1103">
        <v>2120</v>
      </c>
      <c r="B1103">
        <v>98.367135604090919</v>
      </c>
      <c r="O1103">
        <v>2.4</v>
      </c>
      <c r="P1103" s="6">
        <f t="shared" si="18"/>
        <v>0.98452645813636364</v>
      </c>
    </row>
    <row r="1104" spans="1:16">
      <c r="A1104">
        <v>2122</v>
      </c>
      <c r="B1104">
        <v>98.364576464090902</v>
      </c>
      <c r="O1104">
        <v>2.4020000000000001</v>
      </c>
      <c r="P1104" s="6">
        <f t="shared" si="18"/>
        <v>0.98451634260454535</v>
      </c>
    </row>
    <row r="1105" spans="1:16">
      <c r="A1105">
        <v>2124</v>
      </c>
      <c r="B1105">
        <v>98.361868707272734</v>
      </c>
      <c r="O1105">
        <v>2.4039999999999999</v>
      </c>
      <c r="P1105" s="6">
        <f t="shared" si="18"/>
        <v>0.98451816797727276</v>
      </c>
    </row>
    <row r="1106" spans="1:16">
      <c r="A1106">
        <v>2126</v>
      </c>
      <c r="B1106">
        <v>98.363882587272741</v>
      </c>
      <c r="O1106">
        <v>2.4060000000000001</v>
      </c>
      <c r="P1106" s="6">
        <f t="shared" si="18"/>
        <v>0.98451232280454548</v>
      </c>
    </row>
    <row r="1107" spans="1:16">
      <c r="A1107">
        <v>2128</v>
      </c>
      <c r="B1107">
        <v>98.367507734090893</v>
      </c>
      <c r="O1107">
        <v>2.4079999999999999</v>
      </c>
      <c r="P1107" s="6">
        <f t="shared" si="18"/>
        <v>0.98448302005454547</v>
      </c>
    </row>
    <row r="1108" spans="1:16">
      <c r="A1108">
        <v>2130</v>
      </c>
      <c r="B1108">
        <v>98.369635496363628</v>
      </c>
      <c r="O1108">
        <v>2.41</v>
      </c>
      <c r="P1108" s="6">
        <f t="shared" si="18"/>
        <v>0.98444606575454541</v>
      </c>
    </row>
    <row r="1109" spans="1:16">
      <c r="A1109">
        <v>2132</v>
      </c>
      <c r="B1109">
        <v>98.371054004545442</v>
      </c>
      <c r="O1109">
        <v>2.4119999999999999</v>
      </c>
      <c r="P1109" s="6">
        <f t="shared" si="18"/>
        <v>0.98442766458636355</v>
      </c>
    </row>
    <row r="1110" spans="1:16">
      <c r="A1110">
        <v>2134</v>
      </c>
      <c r="B1110">
        <v>98.370711091363631</v>
      </c>
      <c r="O1110">
        <v>2.4140000000000001</v>
      </c>
      <c r="P1110" s="6">
        <f t="shared" si="18"/>
        <v>0.98441706331363643</v>
      </c>
    </row>
    <row r="1111" spans="1:16">
      <c r="A1111">
        <v>2136</v>
      </c>
      <c r="B1111">
        <v>98.371906448181818</v>
      </c>
      <c r="O1111">
        <v>2.4159999999999999</v>
      </c>
      <c r="P1111" s="6">
        <f t="shared" si="18"/>
        <v>0.98438421293636358</v>
      </c>
    </row>
    <row r="1112" spans="1:16">
      <c r="A1112">
        <v>2138</v>
      </c>
      <c r="B1112">
        <v>98.371480045454561</v>
      </c>
      <c r="O1112">
        <v>2.4180000000000001</v>
      </c>
      <c r="P1112" s="6">
        <f t="shared" si="18"/>
        <v>0.98434105707272734</v>
      </c>
    </row>
    <row r="1113" spans="1:16">
      <c r="A1113">
        <v>2140</v>
      </c>
      <c r="B1113">
        <v>98.373187013181834</v>
      </c>
      <c r="O1113">
        <v>2.42</v>
      </c>
      <c r="P1113" s="6">
        <f t="shared" si="18"/>
        <v>0.98432912430909103</v>
      </c>
    </row>
    <row r="1114" spans="1:16">
      <c r="A1114">
        <v>2142</v>
      </c>
      <c r="B1114">
        <v>98.374408692272738</v>
      </c>
      <c r="O1114">
        <v>2.4220000000000002</v>
      </c>
      <c r="P1114" s="6">
        <f t="shared" si="18"/>
        <v>0.98440276787727266</v>
      </c>
    </row>
    <row r="1115" spans="1:16">
      <c r="A1115">
        <v>2144</v>
      </c>
      <c r="B1115">
        <v>98.376718901363631</v>
      </c>
      <c r="O1115">
        <v>2.4239999999999999</v>
      </c>
      <c r="P1115" s="6">
        <f t="shared" si="18"/>
        <v>0.98451974821818167</v>
      </c>
    </row>
    <row r="1116" spans="1:16">
      <c r="A1116">
        <v>2146</v>
      </c>
      <c r="B1116">
        <v>98.380325052727287</v>
      </c>
      <c r="O1116">
        <v>2.4260000000000002</v>
      </c>
      <c r="P1116" s="6">
        <f t="shared" si="18"/>
        <v>0.98459918449545436</v>
      </c>
    </row>
    <row r="1117" spans="1:16">
      <c r="A1117">
        <v>2148</v>
      </c>
      <c r="B1117">
        <v>98.379144711363651</v>
      </c>
      <c r="O1117">
        <v>2.4279999999999999</v>
      </c>
      <c r="P1117" s="6">
        <f t="shared" si="18"/>
        <v>0.98464318339545442</v>
      </c>
    </row>
    <row r="1118" spans="1:16">
      <c r="A1118">
        <v>2150</v>
      </c>
      <c r="B1118">
        <v>98.377661256818186</v>
      </c>
      <c r="O1118">
        <v>2.4300000000000002</v>
      </c>
      <c r="P1118" s="6">
        <f t="shared" si="18"/>
        <v>0.98467249338181817</v>
      </c>
    </row>
    <row r="1119" spans="1:16">
      <c r="A1119">
        <v>2152</v>
      </c>
      <c r="B1119">
        <v>98.378755033181818</v>
      </c>
      <c r="O1119">
        <v>2.4319999999999999</v>
      </c>
      <c r="P1119" s="6">
        <f t="shared" si="18"/>
        <v>0.98466982225909083</v>
      </c>
    </row>
    <row r="1120" spans="1:16">
      <c r="A1120">
        <v>2154</v>
      </c>
      <c r="B1120">
        <v>98.380539339545479</v>
      </c>
      <c r="O1120">
        <v>2.4340000000000002</v>
      </c>
      <c r="P1120" s="6">
        <f t="shared" si="18"/>
        <v>0.98465535857727271</v>
      </c>
    </row>
    <row r="1121" spans="1:16">
      <c r="A1121">
        <v>2156</v>
      </c>
      <c r="B1121">
        <v>98.381486398636369</v>
      </c>
      <c r="O1121">
        <v>2.4359999999999999</v>
      </c>
      <c r="P1121" s="6">
        <f t="shared" si="18"/>
        <v>0.98465009955000005</v>
      </c>
    </row>
    <row r="1122" spans="1:16">
      <c r="A1122">
        <v>2158</v>
      </c>
      <c r="B1122">
        <v>98.380438844545452</v>
      </c>
      <c r="O1122">
        <v>2.4380000000000002</v>
      </c>
      <c r="P1122" s="6">
        <f t="shared" si="18"/>
        <v>0.98467543858181794</v>
      </c>
    </row>
    <row r="1123" spans="1:16">
      <c r="A1123">
        <v>2160</v>
      </c>
      <c r="B1123">
        <v>98.381994934090912</v>
      </c>
      <c r="O1123">
        <v>2.44</v>
      </c>
      <c r="P1123" s="6">
        <f t="shared" si="18"/>
        <v>0.98472534054545446</v>
      </c>
    </row>
    <row r="1124" spans="1:16">
      <c r="A1124">
        <v>2162</v>
      </c>
      <c r="B1124">
        <v>98.382463760000007</v>
      </c>
      <c r="O1124">
        <v>2.4420000000000002</v>
      </c>
      <c r="P1124" s="6">
        <f t="shared" si="18"/>
        <v>0.98478338341818172</v>
      </c>
    </row>
    <row r="1125" spans="1:16">
      <c r="A1125">
        <v>2164</v>
      </c>
      <c r="B1125">
        <v>98.384268961363645</v>
      </c>
      <c r="O1125">
        <v>2.444</v>
      </c>
      <c r="P1125" s="6">
        <f t="shared" si="18"/>
        <v>0.98474315556818193</v>
      </c>
    </row>
    <row r="1126" spans="1:16">
      <c r="A1126">
        <v>2166</v>
      </c>
      <c r="B1126">
        <v>98.388090032727263</v>
      </c>
      <c r="O1126">
        <v>2.4460000000000002</v>
      </c>
      <c r="P1126" s="6">
        <f t="shared" si="18"/>
        <v>0.98464129741818185</v>
      </c>
    </row>
    <row r="1127" spans="1:16">
      <c r="A1127">
        <v>2168</v>
      </c>
      <c r="B1127">
        <v>98.390073610454536</v>
      </c>
      <c r="O1127">
        <v>2.448</v>
      </c>
      <c r="P1127" s="6">
        <f t="shared" si="18"/>
        <v>0.98458407406363646</v>
      </c>
    </row>
    <row r="1128" spans="1:16">
      <c r="A1128">
        <v>2170</v>
      </c>
      <c r="B1128">
        <v>98.390111872727289</v>
      </c>
      <c r="O1128">
        <v>2.4500000000000002</v>
      </c>
      <c r="P1128" s="6">
        <f t="shared" si="18"/>
        <v>0.98454079427727281</v>
      </c>
    </row>
    <row r="1129" spans="1:16">
      <c r="A1129">
        <v>2172</v>
      </c>
      <c r="B1129">
        <v>98.389027774999988</v>
      </c>
      <c r="O1129">
        <v>2.452</v>
      </c>
      <c r="P1129" s="6">
        <f t="shared" si="18"/>
        <v>0.98450438179999988</v>
      </c>
    </row>
    <row r="1130" spans="1:16">
      <c r="A1130">
        <v>2174</v>
      </c>
      <c r="B1130">
        <v>98.389863394090909</v>
      </c>
      <c r="O1130">
        <v>2.4540000000000002</v>
      </c>
      <c r="P1130" s="6">
        <f t="shared" si="18"/>
        <v>0.98453056567727271</v>
      </c>
    </row>
    <row r="1131" spans="1:16">
      <c r="A1131">
        <v>2176</v>
      </c>
      <c r="B1131">
        <v>98.389434639545456</v>
      </c>
      <c r="O1131">
        <v>2.456</v>
      </c>
      <c r="P1131" s="6">
        <f t="shared" si="18"/>
        <v>0.98456192536363629</v>
      </c>
    </row>
    <row r="1132" spans="1:16">
      <c r="A1132">
        <v>2178</v>
      </c>
      <c r="B1132">
        <v>98.388105952727287</v>
      </c>
      <c r="O1132">
        <v>2.4580000000000002</v>
      </c>
      <c r="P1132" s="6">
        <f t="shared" si="18"/>
        <v>0.98458941359545449</v>
      </c>
    </row>
    <row r="1133" spans="1:16">
      <c r="A1133">
        <v>2180</v>
      </c>
      <c r="B1133">
        <v>98.389153235454543</v>
      </c>
      <c r="O1133">
        <v>2.46</v>
      </c>
      <c r="P1133" s="6">
        <f t="shared" si="18"/>
        <v>0.98464273564545446</v>
      </c>
    </row>
    <row r="1134" spans="1:16">
      <c r="A1134">
        <v>2182</v>
      </c>
      <c r="B1134">
        <v>98.388173522272751</v>
      </c>
      <c r="O1134">
        <v>2.4620000000000002</v>
      </c>
      <c r="P1134" s="6">
        <f t="shared" si="18"/>
        <v>0.98468343385909096</v>
      </c>
    </row>
    <row r="1135" spans="1:16">
      <c r="A1135">
        <v>2184</v>
      </c>
      <c r="B1135">
        <v>98.388852112272716</v>
      </c>
      <c r="O1135">
        <v>2.464</v>
      </c>
      <c r="P1135" s="6">
        <f t="shared" si="18"/>
        <v>0.98464972054545474</v>
      </c>
    </row>
    <row r="1136" spans="1:16">
      <c r="A1136">
        <v>2186</v>
      </c>
      <c r="B1136">
        <v>98.387686515000013</v>
      </c>
      <c r="O1136">
        <v>2.4660000000000002</v>
      </c>
      <c r="P1136" s="6">
        <f t="shared" si="18"/>
        <v>0.98459793712727273</v>
      </c>
    </row>
    <row r="1137" spans="1:16">
      <c r="A1137">
        <v>2188</v>
      </c>
      <c r="B1137">
        <v>98.388646418636355</v>
      </c>
      <c r="O1137">
        <v>2.468</v>
      </c>
      <c r="P1137" s="6">
        <f t="shared" si="18"/>
        <v>0.98457200200000006</v>
      </c>
    </row>
    <row r="1138" spans="1:16">
      <c r="A1138">
        <v>2190</v>
      </c>
      <c r="B1138">
        <v>98.389441695000016</v>
      </c>
      <c r="O1138">
        <v>2.4700000000000002</v>
      </c>
      <c r="P1138" s="6">
        <f t="shared" si="18"/>
        <v>0.98457175505909089</v>
      </c>
    </row>
    <row r="1139" spans="1:16">
      <c r="A1139">
        <v>2192</v>
      </c>
      <c r="B1139">
        <v>98.393800970909084</v>
      </c>
      <c r="O1139">
        <v>2.472</v>
      </c>
      <c r="P1139" s="6">
        <f t="shared" si="18"/>
        <v>0.9846434240045453</v>
      </c>
    </row>
    <row r="1140" spans="1:16">
      <c r="A1140">
        <v>2194</v>
      </c>
      <c r="B1140">
        <v>98.401055606363641</v>
      </c>
      <c r="O1140">
        <v>2.4740000000000002</v>
      </c>
      <c r="P1140" s="6">
        <f t="shared" si="18"/>
        <v>0.98471438740454531</v>
      </c>
    </row>
    <row r="1141" spans="1:16">
      <c r="A1141">
        <v>2196</v>
      </c>
      <c r="B1141">
        <v>98.401798871363638</v>
      </c>
      <c r="O1141">
        <v>2.476</v>
      </c>
      <c r="P1141" s="6">
        <f t="shared" si="18"/>
        <v>0.98473226936363645</v>
      </c>
    </row>
    <row r="1142" spans="1:16">
      <c r="A1142">
        <v>2198</v>
      </c>
      <c r="B1142">
        <v>98.402516447272717</v>
      </c>
      <c r="O1142">
        <v>2.4780000000000002</v>
      </c>
      <c r="P1142" s="6">
        <f t="shared" si="18"/>
        <v>0.98470698189090911</v>
      </c>
    </row>
    <row r="1143" spans="1:16">
      <c r="A1143">
        <v>2200</v>
      </c>
      <c r="B1143">
        <v>98.406594319090914</v>
      </c>
      <c r="O1143">
        <v>2.48</v>
      </c>
      <c r="P1143" s="6">
        <f t="shared" si="18"/>
        <v>0.98465380547272729</v>
      </c>
    </row>
    <row r="1144" spans="1:16">
      <c r="A1144">
        <v>2202</v>
      </c>
      <c r="B1144">
        <v>98.411739283181817</v>
      </c>
      <c r="O1144">
        <v>2.4820000000000002</v>
      </c>
      <c r="P1144" s="6">
        <f t="shared" si="18"/>
        <v>0.98460322510000009</v>
      </c>
    </row>
    <row r="1145" spans="1:16">
      <c r="A1145">
        <v>2204</v>
      </c>
      <c r="B1145">
        <v>98.415004873181829</v>
      </c>
      <c r="O1145">
        <v>2.484</v>
      </c>
      <c r="P1145" s="6">
        <f t="shared" si="18"/>
        <v>0.98462415447272744</v>
      </c>
    </row>
    <row r="1146" spans="1:16">
      <c r="A1146">
        <v>2206</v>
      </c>
      <c r="B1146">
        <v>98.415443758636371</v>
      </c>
      <c r="O1146">
        <v>2.4860000000000002</v>
      </c>
      <c r="P1146" s="6">
        <f t="shared" si="18"/>
        <v>0.98465930330000007</v>
      </c>
    </row>
    <row r="1147" spans="1:16">
      <c r="A1147">
        <v>2208</v>
      </c>
      <c r="B1147">
        <v>98.418079784999989</v>
      </c>
      <c r="O1147">
        <v>2.488</v>
      </c>
      <c r="P1147" s="6">
        <f t="shared" si="18"/>
        <v>0.9846815713999999</v>
      </c>
    </row>
    <row r="1148" spans="1:16">
      <c r="A1148">
        <v>2210</v>
      </c>
      <c r="B1148">
        <v>98.418392124545448</v>
      </c>
      <c r="O1148">
        <v>2.4900000000000002</v>
      </c>
      <c r="P1148" s="6">
        <f t="shared" si="18"/>
        <v>0.98465089916818183</v>
      </c>
    </row>
    <row r="1149" spans="1:16">
      <c r="A1149">
        <v>2212</v>
      </c>
      <c r="B1149">
        <v>98.41936288272727</v>
      </c>
      <c r="O1149">
        <v>2.492</v>
      </c>
      <c r="P1149" s="6">
        <f t="shared" si="18"/>
        <v>0.98469212925454552</v>
      </c>
    </row>
    <row r="1150" spans="1:16">
      <c r="A1150">
        <v>2214</v>
      </c>
      <c r="B1150">
        <v>98.41771570545454</v>
      </c>
      <c r="O1150">
        <v>2.4940000000000002</v>
      </c>
      <c r="P1150" s="6">
        <f t="shared" si="18"/>
        <v>0.98472273545454525</v>
      </c>
    </row>
    <row r="1151" spans="1:16">
      <c r="A1151">
        <v>2216</v>
      </c>
      <c r="B1151">
        <v>98.414524830909073</v>
      </c>
      <c r="O1151">
        <v>2.496</v>
      </c>
      <c r="P1151" s="6">
        <f t="shared" si="18"/>
        <v>0.98467049252727279</v>
      </c>
    </row>
    <row r="1152" spans="1:16">
      <c r="A1152">
        <v>2218</v>
      </c>
      <c r="B1152">
        <v>98.416291950909084</v>
      </c>
      <c r="O1152">
        <v>2.4980000000000002</v>
      </c>
      <c r="P1152" s="6">
        <f t="shared" si="18"/>
        <v>0.98466005678636348</v>
      </c>
    </row>
    <row r="1153" spans="1:16">
      <c r="A1153">
        <v>2220</v>
      </c>
      <c r="B1153">
        <v>98.418193305454551</v>
      </c>
      <c r="O1153">
        <v>2.5</v>
      </c>
      <c r="P1153" s="6">
        <f t="shared" si="18"/>
        <v>0.98472338763181821</v>
      </c>
    </row>
    <row r="1154" spans="1:16">
      <c r="A1154">
        <v>2222</v>
      </c>
      <c r="B1154">
        <v>98.417288850454554</v>
      </c>
      <c r="O1154">
        <v>2.5019999999999998</v>
      </c>
      <c r="P1154" s="6">
        <f t="shared" si="18"/>
        <v>0.98483484300909097</v>
      </c>
    </row>
    <row r="1155" spans="1:16">
      <c r="A1155">
        <v>2224</v>
      </c>
      <c r="B1155">
        <v>98.410920307727267</v>
      </c>
      <c r="O1155">
        <v>2.504</v>
      </c>
      <c r="P1155" s="6">
        <f t="shared" si="18"/>
        <v>0.9848247907954546</v>
      </c>
    </row>
    <row r="1156" spans="1:16">
      <c r="A1156">
        <v>2226</v>
      </c>
      <c r="B1156">
        <v>98.408617244545439</v>
      </c>
      <c r="O1156">
        <v>2.5059999999999998</v>
      </c>
      <c r="P1156" s="6">
        <f t="shared" ref="P1156:P1203" si="19">B1296/100</f>
        <v>0.98473874771818171</v>
      </c>
    </row>
    <row r="1157" spans="1:16">
      <c r="A1157">
        <v>2228</v>
      </c>
      <c r="B1157">
        <v>98.409685331818196</v>
      </c>
      <c r="O1157">
        <v>2.508</v>
      </c>
      <c r="P1157" s="6">
        <f t="shared" si="19"/>
        <v>0.98475258545454547</v>
      </c>
    </row>
    <row r="1158" spans="1:16">
      <c r="A1158">
        <v>2230</v>
      </c>
      <c r="B1158">
        <v>98.407693975000001</v>
      </c>
      <c r="O1158">
        <v>2.5099999999999998</v>
      </c>
      <c r="P1158" s="6">
        <f t="shared" si="19"/>
        <v>0.98488418144090906</v>
      </c>
    </row>
    <row r="1159" spans="1:16">
      <c r="A1159">
        <v>2232</v>
      </c>
      <c r="B1159">
        <v>98.407843315454542</v>
      </c>
      <c r="O1159">
        <v>2.512</v>
      </c>
      <c r="P1159" s="6">
        <f t="shared" si="19"/>
        <v>0.98489901327272733</v>
      </c>
    </row>
    <row r="1160" spans="1:16">
      <c r="A1160">
        <v>2234</v>
      </c>
      <c r="B1160">
        <v>98.407411485454546</v>
      </c>
      <c r="O1160">
        <v>2.5139999999999998</v>
      </c>
      <c r="P1160" s="6">
        <f t="shared" si="19"/>
        <v>0.98484474597272753</v>
      </c>
    </row>
    <row r="1161" spans="1:16">
      <c r="A1161">
        <v>2236</v>
      </c>
      <c r="B1161">
        <v>98.41120125954545</v>
      </c>
      <c r="O1161">
        <v>2.516</v>
      </c>
      <c r="P1161" s="6">
        <f t="shared" si="19"/>
        <v>0.98484371660000003</v>
      </c>
    </row>
    <row r="1162" spans="1:16">
      <c r="A1162">
        <v>2238</v>
      </c>
      <c r="B1162">
        <v>98.414161384545437</v>
      </c>
      <c r="O1162">
        <v>2.5179999999999998</v>
      </c>
      <c r="P1162" s="6">
        <f t="shared" si="19"/>
        <v>0.98493663965</v>
      </c>
    </row>
    <row r="1163" spans="1:16">
      <c r="A1163">
        <v>2240</v>
      </c>
      <c r="B1163">
        <v>98.419803215454536</v>
      </c>
      <c r="O1163">
        <v>2.52</v>
      </c>
      <c r="P1163" s="6">
        <f t="shared" si="19"/>
        <v>0.98492873030454531</v>
      </c>
    </row>
    <row r="1164" spans="1:16">
      <c r="A1164">
        <v>2242</v>
      </c>
      <c r="B1164">
        <v>98.418613285909075</v>
      </c>
      <c r="O1164">
        <v>2.5219999999999998</v>
      </c>
      <c r="P1164" s="6">
        <f t="shared" si="19"/>
        <v>0.98492123252727271</v>
      </c>
    </row>
    <row r="1165" spans="1:16">
      <c r="A1165">
        <v>2244</v>
      </c>
      <c r="B1165">
        <v>98.419776893181819</v>
      </c>
      <c r="O1165">
        <v>2.524</v>
      </c>
      <c r="P1165" s="6">
        <f t="shared" si="19"/>
        <v>0.98486728905454546</v>
      </c>
    </row>
    <row r="1166" spans="1:16">
      <c r="A1166">
        <v>2246</v>
      </c>
      <c r="B1166">
        <v>98.426762969090902</v>
      </c>
      <c r="O1166">
        <v>2.5259999999999998</v>
      </c>
      <c r="P1166" s="6">
        <f t="shared" si="19"/>
        <v>0.98487171228181825</v>
      </c>
    </row>
    <row r="1167" spans="1:16">
      <c r="A1167">
        <v>2248</v>
      </c>
      <c r="B1167">
        <v>98.43130541545456</v>
      </c>
      <c r="O1167">
        <v>2.528</v>
      </c>
      <c r="P1167" s="6">
        <f t="shared" si="19"/>
        <v>0.98500761300000006</v>
      </c>
    </row>
    <row r="1168" spans="1:16">
      <c r="A1168">
        <v>2250</v>
      </c>
      <c r="B1168">
        <v>98.434244916818187</v>
      </c>
      <c r="O1168">
        <v>2.5299999999999998</v>
      </c>
      <c r="P1168" s="6">
        <f t="shared" si="19"/>
        <v>0.98491982686363633</v>
      </c>
    </row>
    <row r="1169" spans="1:16">
      <c r="A1169">
        <v>2252</v>
      </c>
      <c r="B1169">
        <v>98.438509124999996</v>
      </c>
      <c r="O1169">
        <v>2.532</v>
      </c>
      <c r="P1169" s="6">
        <f t="shared" si="19"/>
        <v>0.98474260379545475</v>
      </c>
    </row>
    <row r="1170" spans="1:16">
      <c r="A1170">
        <v>2254</v>
      </c>
      <c r="B1170">
        <v>98.439521492272718</v>
      </c>
      <c r="O1170">
        <v>2.5339999999999998</v>
      </c>
      <c r="P1170" s="6">
        <f t="shared" si="19"/>
        <v>0.98487545800454568</v>
      </c>
    </row>
    <row r="1171" spans="1:16">
      <c r="A1171">
        <v>2256</v>
      </c>
      <c r="B1171">
        <v>98.439154427727289</v>
      </c>
      <c r="O1171">
        <v>2.536</v>
      </c>
      <c r="P1171" s="6">
        <f t="shared" si="19"/>
        <v>0.98487557650000002</v>
      </c>
    </row>
    <row r="1172" spans="1:16">
      <c r="A1172">
        <v>2258</v>
      </c>
      <c r="B1172">
        <v>98.433378814545449</v>
      </c>
      <c r="O1172">
        <v>2.5379999999999998</v>
      </c>
      <c r="P1172" s="6">
        <f t="shared" si="19"/>
        <v>0.98479641882272728</v>
      </c>
    </row>
    <row r="1173" spans="1:16">
      <c r="A1173">
        <v>2260</v>
      </c>
      <c r="B1173">
        <v>98.432919848181811</v>
      </c>
      <c r="O1173">
        <v>2.54</v>
      </c>
      <c r="P1173" s="6">
        <f t="shared" si="19"/>
        <v>0.98477840841818176</v>
      </c>
    </row>
    <row r="1174" spans="1:16">
      <c r="A1174">
        <v>2262</v>
      </c>
      <c r="B1174">
        <v>98.429629202272707</v>
      </c>
      <c r="O1174">
        <v>2.5419999999999998</v>
      </c>
      <c r="P1174" s="6">
        <f t="shared" si="19"/>
        <v>0.98482306763636362</v>
      </c>
    </row>
    <row r="1175" spans="1:16">
      <c r="A1175">
        <v>2264</v>
      </c>
      <c r="B1175">
        <v>98.431350914090899</v>
      </c>
      <c r="O1175">
        <v>2.544</v>
      </c>
      <c r="P1175" s="6">
        <f t="shared" si="19"/>
        <v>0.98474946929545448</v>
      </c>
    </row>
    <row r="1176" spans="1:16">
      <c r="A1176">
        <v>2266</v>
      </c>
      <c r="B1176">
        <v>98.432784618636347</v>
      </c>
      <c r="O1176">
        <v>2.5459999999999998</v>
      </c>
      <c r="P1176" s="6">
        <f t="shared" si="19"/>
        <v>0.98476506546818188</v>
      </c>
    </row>
    <row r="1177" spans="1:16">
      <c r="A1177">
        <v>2268</v>
      </c>
      <c r="B1177">
        <v>98.430508058636363</v>
      </c>
      <c r="O1177">
        <v>2.548</v>
      </c>
      <c r="P1177" s="6">
        <f t="shared" si="19"/>
        <v>0.98483848199545465</v>
      </c>
    </row>
    <row r="1178" spans="1:16">
      <c r="A1178">
        <v>2270</v>
      </c>
      <c r="B1178">
        <v>98.429364079999999</v>
      </c>
      <c r="O1178">
        <v>2.5499999999999998</v>
      </c>
      <c r="P1178" s="6">
        <f t="shared" si="19"/>
        <v>0.98465958732727288</v>
      </c>
    </row>
    <row r="1179" spans="1:16">
      <c r="A1179">
        <v>2272</v>
      </c>
      <c r="B1179">
        <v>98.427532465909096</v>
      </c>
      <c r="O1179">
        <v>2.552</v>
      </c>
      <c r="P1179" s="6">
        <f t="shared" si="19"/>
        <v>0.98472556396818167</v>
      </c>
    </row>
    <row r="1180" spans="1:16">
      <c r="A1180">
        <v>2274</v>
      </c>
      <c r="B1180">
        <v>98.427477921818195</v>
      </c>
      <c r="O1180">
        <v>2.5539999999999998</v>
      </c>
      <c r="P1180" s="6">
        <f t="shared" si="19"/>
        <v>0.98479799273181812</v>
      </c>
    </row>
    <row r="1181" spans="1:16">
      <c r="A1181">
        <v>2276</v>
      </c>
      <c r="B1181">
        <v>98.425594386818176</v>
      </c>
      <c r="O1181">
        <v>2.556</v>
      </c>
      <c r="P1181" s="6">
        <f t="shared" si="19"/>
        <v>0.98468415840000001</v>
      </c>
    </row>
    <row r="1182" spans="1:16">
      <c r="A1182">
        <v>2278</v>
      </c>
      <c r="B1182">
        <v>98.426104640909088</v>
      </c>
      <c r="O1182">
        <v>2.5579999999999998</v>
      </c>
      <c r="P1182" s="6">
        <f t="shared" si="19"/>
        <v>0.98460742219090902</v>
      </c>
    </row>
    <row r="1183" spans="1:16">
      <c r="A1183">
        <v>2280</v>
      </c>
      <c r="B1183">
        <v>98.432157406818192</v>
      </c>
      <c r="O1183">
        <v>2.56</v>
      </c>
      <c r="P1183" s="6">
        <f t="shared" si="19"/>
        <v>0.98449745388636345</v>
      </c>
    </row>
    <row r="1184" spans="1:16">
      <c r="A1184">
        <v>2282</v>
      </c>
      <c r="B1184">
        <v>98.434462460000006</v>
      </c>
      <c r="O1184">
        <v>2.5619999999999998</v>
      </c>
      <c r="P1184" s="6">
        <f t="shared" si="19"/>
        <v>0.98466171300909078</v>
      </c>
    </row>
    <row r="1185" spans="1:16">
      <c r="A1185">
        <v>2284</v>
      </c>
      <c r="B1185">
        <v>98.434160522727282</v>
      </c>
      <c r="O1185">
        <v>2.5640000000000001</v>
      </c>
      <c r="P1185" s="6">
        <f t="shared" si="19"/>
        <v>0.98461865483636368</v>
      </c>
    </row>
    <row r="1186" spans="1:16">
      <c r="A1186">
        <v>2286</v>
      </c>
      <c r="B1186">
        <v>98.43367803818181</v>
      </c>
      <c r="O1186">
        <v>2.5659999999999998</v>
      </c>
      <c r="P1186" s="6">
        <f t="shared" si="19"/>
        <v>0.98471941305909083</v>
      </c>
    </row>
    <row r="1187" spans="1:16">
      <c r="A1187">
        <v>2288</v>
      </c>
      <c r="B1187">
        <v>98.432443333636371</v>
      </c>
      <c r="O1187">
        <v>2.5680000000000001</v>
      </c>
      <c r="P1187" s="6">
        <f t="shared" si="19"/>
        <v>0.98475157326818175</v>
      </c>
    </row>
    <row r="1188" spans="1:16">
      <c r="A1188">
        <v>2290</v>
      </c>
      <c r="B1188">
        <v>98.432230946363632</v>
      </c>
      <c r="O1188">
        <v>2.57</v>
      </c>
      <c r="P1188" s="6">
        <f t="shared" si="19"/>
        <v>0.98467124510909099</v>
      </c>
    </row>
    <row r="1189" spans="1:16">
      <c r="A1189">
        <v>2292</v>
      </c>
      <c r="B1189">
        <v>98.432065414545463</v>
      </c>
      <c r="O1189">
        <v>2.5720000000000001</v>
      </c>
      <c r="P1189" s="6">
        <f t="shared" si="19"/>
        <v>0.98469922179545466</v>
      </c>
    </row>
    <row r="1190" spans="1:16">
      <c r="A1190">
        <v>2294</v>
      </c>
      <c r="B1190">
        <v>98.431677635909097</v>
      </c>
      <c r="O1190">
        <v>2.5739999999999998</v>
      </c>
      <c r="P1190" s="6">
        <f t="shared" si="19"/>
        <v>0.98461406788636352</v>
      </c>
    </row>
    <row r="1191" spans="1:16">
      <c r="A1191">
        <v>2296</v>
      </c>
      <c r="B1191">
        <v>98.430893666363644</v>
      </c>
      <c r="O1191">
        <v>2.5760000000000001</v>
      </c>
      <c r="P1191" s="6">
        <f t="shared" si="19"/>
        <v>0.98464181662727268</v>
      </c>
    </row>
    <row r="1192" spans="1:16">
      <c r="A1192">
        <v>2298</v>
      </c>
      <c r="B1192">
        <v>98.43573072318182</v>
      </c>
      <c r="O1192">
        <v>2.5779999999999998</v>
      </c>
      <c r="P1192" s="6">
        <f t="shared" si="19"/>
        <v>0.98459121725909071</v>
      </c>
    </row>
    <row r="1193" spans="1:16">
      <c r="A1193">
        <v>2300</v>
      </c>
      <c r="B1193">
        <v>98.436541738636365</v>
      </c>
      <c r="O1193">
        <v>2.58</v>
      </c>
      <c r="P1193" s="6">
        <f t="shared" si="19"/>
        <v>0.98460199672727255</v>
      </c>
    </row>
    <row r="1194" spans="1:16">
      <c r="A1194">
        <v>2302</v>
      </c>
      <c r="B1194">
        <v>98.436655439999996</v>
      </c>
      <c r="O1194">
        <v>2.5819999999999999</v>
      </c>
      <c r="P1194" s="6">
        <f t="shared" si="19"/>
        <v>0.98539727490000006</v>
      </c>
    </row>
    <row r="1195" spans="1:16">
      <c r="A1195">
        <v>2304</v>
      </c>
      <c r="B1195">
        <v>98.434258575454535</v>
      </c>
      <c r="O1195">
        <v>2.5840000000000001</v>
      </c>
      <c r="P1195" s="6">
        <f t="shared" si="19"/>
        <v>0.98434840560000014</v>
      </c>
    </row>
    <row r="1196" spans="1:16">
      <c r="A1196">
        <v>2306</v>
      </c>
      <c r="B1196">
        <v>98.433399528636372</v>
      </c>
      <c r="O1196">
        <v>2.5859999999999999</v>
      </c>
      <c r="P1196" s="6">
        <f t="shared" si="19"/>
        <v>0.98400396644999999</v>
      </c>
    </row>
    <row r="1197" spans="1:16">
      <c r="A1197">
        <v>2308</v>
      </c>
      <c r="B1197">
        <v>98.434898993636367</v>
      </c>
      <c r="O1197">
        <v>2.5880000000000001</v>
      </c>
      <c r="P1197" s="6">
        <f t="shared" si="19"/>
        <v>0.9838331050500001</v>
      </c>
    </row>
    <row r="1198" spans="1:16">
      <c r="A1198">
        <v>2310</v>
      </c>
      <c r="B1198">
        <v>98.436844309090901</v>
      </c>
      <c r="O1198">
        <v>2.59</v>
      </c>
      <c r="P1198" s="6">
        <f t="shared" si="19"/>
        <v>0.98485834309999998</v>
      </c>
    </row>
    <row r="1199" spans="1:16">
      <c r="A1199">
        <v>2312</v>
      </c>
      <c r="B1199">
        <v>98.440507175454513</v>
      </c>
      <c r="O1199">
        <v>2.5920000000000001</v>
      </c>
      <c r="P1199" s="6">
        <f t="shared" si="19"/>
        <v>0.98383765219999997</v>
      </c>
    </row>
    <row r="1200" spans="1:16">
      <c r="A1200">
        <v>2314</v>
      </c>
      <c r="B1200">
        <v>98.442010077727275</v>
      </c>
      <c r="O1200">
        <v>2.5939999999999999</v>
      </c>
      <c r="P1200" s="6">
        <f t="shared" si="19"/>
        <v>0.98378186255</v>
      </c>
    </row>
    <row r="1201" spans="1:16">
      <c r="A1201">
        <v>2316</v>
      </c>
      <c r="B1201">
        <v>98.439773860454565</v>
      </c>
      <c r="O1201">
        <v>2.5960000000000001</v>
      </c>
      <c r="P1201" s="6">
        <f t="shared" si="19"/>
        <v>0.98760665250000002</v>
      </c>
    </row>
    <row r="1202" spans="1:16">
      <c r="A1202">
        <v>2318</v>
      </c>
      <c r="B1202">
        <v>98.437953643636348</v>
      </c>
      <c r="O1202">
        <v>2.5979999999999999</v>
      </c>
      <c r="P1202" s="6">
        <f t="shared" si="19"/>
        <v>0.98133442125000003</v>
      </c>
    </row>
    <row r="1203" spans="1:16">
      <c r="A1203">
        <v>2320</v>
      </c>
      <c r="B1203">
        <v>98.432910893181827</v>
      </c>
      <c r="O1203">
        <v>2.6</v>
      </c>
      <c r="P1203" s="6">
        <f t="shared" si="19"/>
        <v>0.98604026380000009</v>
      </c>
    </row>
    <row r="1204" spans="1:16">
      <c r="A1204">
        <v>2322</v>
      </c>
      <c r="B1204">
        <v>98.432929798181803</v>
      </c>
    </row>
    <row r="1205" spans="1:16">
      <c r="A1205">
        <v>2324</v>
      </c>
      <c r="B1205">
        <v>98.432308375454525</v>
      </c>
    </row>
    <row r="1206" spans="1:16">
      <c r="A1206">
        <v>2326</v>
      </c>
      <c r="B1206">
        <v>98.433572296818198</v>
      </c>
    </row>
    <row r="1207" spans="1:16">
      <c r="A1207">
        <v>2328</v>
      </c>
      <c r="B1207">
        <v>98.435774412727255</v>
      </c>
    </row>
    <row r="1208" spans="1:16">
      <c r="A1208">
        <v>2330</v>
      </c>
      <c r="B1208">
        <v>98.43630673772725</v>
      </c>
    </row>
    <row r="1209" spans="1:16">
      <c r="A1209">
        <v>2332</v>
      </c>
      <c r="B1209">
        <v>98.434384126363653</v>
      </c>
    </row>
    <row r="1210" spans="1:16">
      <c r="A1210">
        <v>2334</v>
      </c>
      <c r="B1210">
        <v>98.431720601818171</v>
      </c>
    </row>
    <row r="1211" spans="1:16">
      <c r="A1211">
        <v>2336</v>
      </c>
      <c r="B1211">
        <v>98.432935315909077</v>
      </c>
    </row>
    <row r="1212" spans="1:16">
      <c r="A1212">
        <v>2338</v>
      </c>
      <c r="B1212">
        <v>98.437319105</v>
      </c>
    </row>
    <row r="1213" spans="1:16">
      <c r="A1213">
        <v>2340</v>
      </c>
      <c r="B1213">
        <v>98.441120999999981</v>
      </c>
    </row>
    <row r="1214" spans="1:16">
      <c r="A1214">
        <v>2342</v>
      </c>
      <c r="B1214">
        <v>98.444824480454528</v>
      </c>
    </row>
    <row r="1215" spans="1:16">
      <c r="A1215">
        <v>2344</v>
      </c>
      <c r="B1215">
        <v>98.447203977727284</v>
      </c>
    </row>
    <row r="1216" spans="1:16">
      <c r="A1216">
        <v>2346</v>
      </c>
      <c r="B1216">
        <v>98.446933880454552</v>
      </c>
    </row>
    <row r="1217" spans="1:2">
      <c r="A1217">
        <v>2348</v>
      </c>
      <c r="B1217">
        <v>98.443778644999995</v>
      </c>
    </row>
    <row r="1218" spans="1:2">
      <c r="A1218">
        <v>2350</v>
      </c>
      <c r="B1218">
        <v>98.440800609999997</v>
      </c>
    </row>
    <row r="1219" spans="1:2">
      <c r="A1219">
        <v>2352</v>
      </c>
      <c r="B1219">
        <v>98.439358221818182</v>
      </c>
    </row>
    <row r="1220" spans="1:2">
      <c r="A1220">
        <v>2354</v>
      </c>
      <c r="B1220">
        <v>98.440251731818179</v>
      </c>
    </row>
    <row r="1221" spans="1:2">
      <c r="A1221">
        <v>2356</v>
      </c>
      <c r="B1221">
        <v>98.439400825909118</v>
      </c>
    </row>
    <row r="1222" spans="1:2">
      <c r="A1222">
        <v>2358</v>
      </c>
      <c r="B1222">
        <v>98.435455831818189</v>
      </c>
    </row>
    <row r="1223" spans="1:2">
      <c r="A1223">
        <v>2360</v>
      </c>
      <c r="B1223">
        <v>98.435534165454555</v>
      </c>
    </row>
    <row r="1224" spans="1:2">
      <c r="A1224">
        <v>2362</v>
      </c>
      <c r="B1224">
        <v>98.433421690000017</v>
      </c>
    </row>
    <row r="1225" spans="1:2">
      <c r="A1225">
        <v>2364</v>
      </c>
      <c r="B1225">
        <v>98.432577839545459</v>
      </c>
    </row>
    <row r="1226" spans="1:2">
      <c r="A1226">
        <v>2366</v>
      </c>
      <c r="B1226">
        <v>98.430815965909076</v>
      </c>
    </row>
    <row r="1227" spans="1:2">
      <c r="A1227">
        <v>2368</v>
      </c>
      <c r="B1227">
        <v>98.43087340454548</v>
      </c>
    </row>
    <row r="1228" spans="1:2">
      <c r="A1228">
        <v>2370</v>
      </c>
      <c r="B1228">
        <v>98.43691450181818</v>
      </c>
    </row>
    <row r="1229" spans="1:2">
      <c r="A1229">
        <v>2372</v>
      </c>
      <c r="B1229">
        <v>98.441685888636357</v>
      </c>
    </row>
    <row r="1230" spans="1:2">
      <c r="A1230">
        <v>2374</v>
      </c>
      <c r="B1230">
        <v>98.442860621818184</v>
      </c>
    </row>
    <row r="1231" spans="1:2">
      <c r="A1231">
        <v>2376</v>
      </c>
      <c r="B1231">
        <v>98.4410744159091</v>
      </c>
    </row>
    <row r="1232" spans="1:2">
      <c r="A1232">
        <v>2378</v>
      </c>
      <c r="B1232">
        <v>98.441240219090901</v>
      </c>
    </row>
    <row r="1233" spans="1:2">
      <c r="A1233">
        <v>2380</v>
      </c>
      <c r="B1233">
        <v>98.445406826818171</v>
      </c>
    </row>
    <row r="1234" spans="1:2">
      <c r="A1234">
        <v>2382</v>
      </c>
      <c r="B1234">
        <v>98.444565056818163</v>
      </c>
    </row>
    <row r="1235" spans="1:2">
      <c r="A1235">
        <v>2384</v>
      </c>
      <c r="B1235">
        <v>98.444026671363645</v>
      </c>
    </row>
    <row r="1236" spans="1:2">
      <c r="A1236">
        <v>2386</v>
      </c>
      <c r="B1236">
        <v>98.445987997272724</v>
      </c>
    </row>
    <row r="1237" spans="1:2">
      <c r="A1237">
        <v>2388</v>
      </c>
      <c r="B1237">
        <v>98.450847577272725</v>
      </c>
    </row>
    <row r="1238" spans="1:2">
      <c r="A1238">
        <v>2390</v>
      </c>
      <c r="B1238">
        <v>98.454662045454526</v>
      </c>
    </row>
    <row r="1239" spans="1:2">
      <c r="A1239">
        <v>2392</v>
      </c>
      <c r="B1239">
        <v>98.453786174090894</v>
      </c>
    </row>
    <row r="1240" spans="1:2">
      <c r="A1240">
        <v>2394</v>
      </c>
      <c r="B1240">
        <v>98.451912046363631</v>
      </c>
    </row>
    <row r="1241" spans="1:2">
      <c r="A1241">
        <v>2396</v>
      </c>
      <c r="B1241">
        <v>98.450974213636371</v>
      </c>
    </row>
    <row r="1242" spans="1:2">
      <c r="A1242">
        <v>2398</v>
      </c>
      <c r="B1242">
        <v>98.453112106818182</v>
      </c>
    </row>
    <row r="1243" spans="1:2">
      <c r="A1243">
        <v>2400</v>
      </c>
      <c r="B1243">
        <v>98.452645813636366</v>
      </c>
    </row>
    <row r="1244" spans="1:2">
      <c r="A1244">
        <v>2402</v>
      </c>
      <c r="B1244">
        <v>98.45163426045454</v>
      </c>
    </row>
    <row r="1245" spans="1:2">
      <c r="A1245">
        <v>2404</v>
      </c>
      <c r="B1245">
        <v>98.451816797727275</v>
      </c>
    </row>
    <row r="1246" spans="1:2">
      <c r="A1246">
        <v>2406</v>
      </c>
      <c r="B1246">
        <v>98.451232280454548</v>
      </c>
    </row>
    <row r="1247" spans="1:2">
      <c r="A1247">
        <v>2408</v>
      </c>
      <c r="B1247">
        <v>98.448302005454551</v>
      </c>
    </row>
    <row r="1248" spans="1:2">
      <c r="A1248">
        <v>2410</v>
      </c>
      <c r="B1248">
        <v>98.444606575454543</v>
      </c>
    </row>
    <row r="1249" spans="1:2">
      <c r="A1249">
        <v>2412</v>
      </c>
      <c r="B1249">
        <v>98.442766458636356</v>
      </c>
    </row>
    <row r="1250" spans="1:2">
      <c r="A1250">
        <v>2414</v>
      </c>
      <c r="B1250">
        <v>98.441706331363648</v>
      </c>
    </row>
    <row r="1251" spans="1:2">
      <c r="A1251">
        <v>2416</v>
      </c>
      <c r="B1251">
        <v>98.438421293636353</v>
      </c>
    </row>
    <row r="1252" spans="1:2">
      <c r="A1252">
        <v>2418</v>
      </c>
      <c r="B1252">
        <v>98.434105707272735</v>
      </c>
    </row>
    <row r="1253" spans="1:2">
      <c r="A1253">
        <v>2420</v>
      </c>
      <c r="B1253">
        <v>98.432912430909099</v>
      </c>
    </row>
    <row r="1254" spans="1:2">
      <c r="A1254">
        <v>2422</v>
      </c>
      <c r="B1254">
        <v>98.440276787727271</v>
      </c>
    </row>
    <row r="1255" spans="1:2">
      <c r="A1255">
        <v>2424</v>
      </c>
      <c r="B1255">
        <v>98.451974821818169</v>
      </c>
    </row>
    <row r="1256" spans="1:2">
      <c r="A1256">
        <v>2426</v>
      </c>
      <c r="B1256">
        <v>98.459918449545441</v>
      </c>
    </row>
    <row r="1257" spans="1:2">
      <c r="A1257">
        <v>2428</v>
      </c>
      <c r="B1257">
        <v>98.464318339545443</v>
      </c>
    </row>
    <row r="1258" spans="1:2">
      <c r="A1258">
        <v>2430</v>
      </c>
      <c r="B1258">
        <v>98.467249338181816</v>
      </c>
    </row>
    <row r="1259" spans="1:2">
      <c r="A1259">
        <v>2432</v>
      </c>
      <c r="B1259">
        <v>98.466982225909078</v>
      </c>
    </row>
    <row r="1260" spans="1:2">
      <c r="A1260">
        <v>2434</v>
      </c>
      <c r="B1260">
        <v>98.465535857727275</v>
      </c>
    </row>
    <row r="1261" spans="1:2">
      <c r="A1261">
        <v>2436</v>
      </c>
      <c r="B1261">
        <v>98.465009954999999</v>
      </c>
    </row>
    <row r="1262" spans="1:2">
      <c r="A1262">
        <v>2438</v>
      </c>
      <c r="B1262">
        <v>98.467543858181799</v>
      </c>
    </row>
    <row r="1263" spans="1:2">
      <c r="A1263">
        <v>2440</v>
      </c>
      <c r="B1263">
        <v>98.472534054545449</v>
      </c>
    </row>
    <row r="1264" spans="1:2">
      <c r="A1264">
        <v>2442</v>
      </c>
      <c r="B1264">
        <v>98.478338341818173</v>
      </c>
    </row>
    <row r="1265" spans="1:2">
      <c r="A1265">
        <v>2444</v>
      </c>
      <c r="B1265">
        <v>98.474315556818198</v>
      </c>
    </row>
    <row r="1266" spans="1:2">
      <c r="A1266">
        <v>2446</v>
      </c>
      <c r="B1266">
        <v>98.464129741818184</v>
      </c>
    </row>
    <row r="1267" spans="1:2">
      <c r="A1267">
        <v>2448</v>
      </c>
      <c r="B1267">
        <v>98.458407406363648</v>
      </c>
    </row>
    <row r="1268" spans="1:2">
      <c r="A1268">
        <v>2450</v>
      </c>
      <c r="B1268">
        <v>98.454079427727279</v>
      </c>
    </row>
    <row r="1269" spans="1:2">
      <c r="A1269">
        <v>2452</v>
      </c>
      <c r="B1269">
        <v>98.450438179999992</v>
      </c>
    </row>
    <row r="1270" spans="1:2">
      <c r="A1270">
        <v>2454</v>
      </c>
      <c r="B1270">
        <v>98.453056567727273</v>
      </c>
    </row>
    <row r="1271" spans="1:2">
      <c r="A1271">
        <v>2456</v>
      </c>
      <c r="B1271">
        <v>98.456192536363631</v>
      </c>
    </row>
    <row r="1272" spans="1:2">
      <c r="A1272">
        <v>2458</v>
      </c>
      <c r="B1272">
        <v>98.458941359545449</v>
      </c>
    </row>
    <row r="1273" spans="1:2">
      <c r="A1273">
        <v>2460</v>
      </c>
      <c r="B1273">
        <v>98.464273564545451</v>
      </c>
    </row>
    <row r="1274" spans="1:2">
      <c r="A1274">
        <v>2462</v>
      </c>
      <c r="B1274">
        <v>98.468343385909094</v>
      </c>
    </row>
    <row r="1275" spans="1:2">
      <c r="A1275">
        <v>2464</v>
      </c>
      <c r="B1275">
        <v>98.46497205454547</v>
      </c>
    </row>
    <row r="1276" spans="1:2">
      <c r="A1276">
        <v>2466</v>
      </c>
      <c r="B1276">
        <v>98.459793712727276</v>
      </c>
    </row>
    <row r="1277" spans="1:2">
      <c r="A1277">
        <v>2468</v>
      </c>
      <c r="B1277">
        <v>98.457200200000003</v>
      </c>
    </row>
    <row r="1278" spans="1:2">
      <c r="A1278">
        <v>2470</v>
      </c>
      <c r="B1278">
        <v>98.457175505909092</v>
      </c>
    </row>
    <row r="1279" spans="1:2">
      <c r="A1279">
        <v>2472</v>
      </c>
      <c r="B1279">
        <v>98.464342400454527</v>
      </c>
    </row>
    <row r="1280" spans="1:2">
      <c r="A1280">
        <v>2474</v>
      </c>
      <c r="B1280">
        <v>98.471438740454531</v>
      </c>
    </row>
    <row r="1281" spans="1:2">
      <c r="A1281">
        <v>2476</v>
      </c>
      <c r="B1281">
        <v>98.473226936363645</v>
      </c>
    </row>
    <row r="1282" spans="1:2">
      <c r="A1282">
        <v>2478</v>
      </c>
      <c r="B1282">
        <v>98.470698189090911</v>
      </c>
    </row>
    <row r="1283" spans="1:2">
      <c r="A1283">
        <v>2480</v>
      </c>
      <c r="B1283">
        <v>98.46538054727273</v>
      </c>
    </row>
    <row r="1284" spans="1:2">
      <c r="A1284">
        <v>2482</v>
      </c>
      <c r="B1284">
        <v>98.460322510000012</v>
      </c>
    </row>
    <row r="1285" spans="1:2">
      <c r="A1285">
        <v>2484</v>
      </c>
      <c r="B1285">
        <v>98.462415447272747</v>
      </c>
    </row>
    <row r="1286" spans="1:2">
      <c r="A1286">
        <v>2486</v>
      </c>
      <c r="B1286">
        <v>98.465930330000006</v>
      </c>
    </row>
    <row r="1287" spans="1:2">
      <c r="A1287">
        <v>2488</v>
      </c>
      <c r="B1287">
        <v>98.468157139999988</v>
      </c>
    </row>
    <row r="1288" spans="1:2">
      <c r="A1288">
        <v>2490</v>
      </c>
      <c r="B1288">
        <v>98.465089916818187</v>
      </c>
    </row>
    <row r="1289" spans="1:2">
      <c r="A1289">
        <v>2492</v>
      </c>
      <c r="B1289">
        <v>98.469212925454556</v>
      </c>
    </row>
    <row r="1290" spans="1:2">
      <c r="A1290">
        <v>2494</v>
      </c>
      <c r="B1290">
        <v>98.472273545454527</v>
      </c>
    </row>
    <row r="1291" spans="1:2">
      <c r="A1291">
        <v>2496</v>
      </c>
      <c r="B1291">
        <v>98.467049252727278</v>
      </c>
    </row>
    <row r="1292" spans="1:2">
      <c r="A1292">
        <v>2498</v>
      </c>
      <c r="B1292">
        <v>98.46600567863635</v>
      </c>
    </row>
    <row r="1293" spans="1:2">
      <c r="A1293">
        <v>2500</v>
      </c>
      <c r="B1293">
        <v>98.472338763181824</v>
      </c>
    </row>
    <row r="1294" spans="1:2">
      <c r="A1294">
        <v>2502</v>
      </c>
      <c r="B1294">
        <v>98.483484300909097</v>
      </c>
    </row>
    <row r="1295" spans="1:2">
      <c r="A1295">
        <v>2504</v>
      </c>
      <c r="B1295">
        <v>98.482479079545456</v>
      </c>
    </row>
    <row r="1296" spans="1:2">
      <c r="A1296">
        <v>2506</v>
      </c>
      <c r="B1296">
        <v>98.473874771818174</v>
      </c>
    </row>
    <row r="1297" spans="1:2">
      <c r="A1297">
        <v>2508</v>
      </c>
      <c r="B1297">
        <v>98.475258545454551</v>
      </c>
    </row>
    <row r="1298" spans="1:2">
      <c r="A1298">
        <v>2510</v>
      </c>
      <c r="B1298">
        <v>98.4884181440909</v>
      </c>
    </row>
    <row r="1299" spans="1:2">
      <c r="A1299">
        <v>2512</v>
      </c>
      <c r="B1299">
        <v>98.489901327272733</v>
      </c>
    </row>
    <row r="1300" spans="1:2">
      <c r="A1300">
        <v>2514</v>
      </c>
      <c r="B1300">
        <v>98.484474597272751</v>
      </c>
    </row>
    <row r="1301" spans="1:2">
      <c r="A1301">
        <v>2516</v>
      </c>
      <c r="B1301">
        <v>98.484371660000008</v>
      </c>
    </row>
    <row r="1302" spans="1:2">
      <c r="A1302">
        <v>2518</v>
      </c>
      <c r="B1302">
        <v>98.493663964999996</v>
      </c>
    </row>
    <row r="1303" spans="1:2">
      <c r="A1303">
        <v>2520</v>
      </c>
      <c r="B1303">
        <v>98.492873030454533</v>
      </c>
    </row>
    <row r="1304" spans="1:2">
      <c r="A1304">
        <v>2522</v>
      </c>
      <c r="B1304">
        <v>98.492123252727268</v>
      </c>
    </row>
    <row r="1305" spans="1:2">
      <c r="A1305">
        <v>2524</v>
      </c>
      <c r="B1305">
        <v>98.486728905454541</v>
      </c>
    </row>
    <row r="1306" spans="1:2">
      <c r="A1306">
        <v>2526</v>
      </c>
      <c r="B1306">
        <v>98.487171228181822</v>
      </c>
    </row>
    <row r="1307" spans="1:2">
      <c r="A1307">
        <v>2528</v>
      </c>
      <c r="B1307">
        <v>98.500761300000008</v>
      </c>
    </row>
    <row r="1308" spans="1:2">
      <c r="A1308">
        <v>2530</v>
      </c>
      <c r="B1308">
        <v>98.491982686363627</v>
      </c>
    </row>
    <row r="1309" spans="1:2">
      <c r="A1309">
        <v>2532</v>
      </c>
      <c r="B1309">
        <v>98.47426037954547</v>
      </c>
    </row>
    <row r="1310" spans="1:2">
      <c r="A1310">
        <v>2534</v>
      </c>
      <c r="B1310">
        <v>98.487545800454569</v>
      </c>
    </row>
    <row r="1311" spans="1:2">
      <c r="A1311">
        <v>2536</v>
      </c>
      <c r="B1311">
        <v>98.487557649999999</v>
      </c>
    </row>
    <row r="1312" spans="1:2">
      <c r="A1312">
        <v>2538</v>
      </c>
      <c r="B1312">
        <v>98.47964188227273</v>
      </c>
    </row>
    <row r="1313" spans="1:2">
      <c r="A1313">
        <v>2540</v>
      </c>
      <c r="B1313">
        <v>98.477840841818178</v>
      </c>
    </row>
    <row r="1314" spans="1:2">
      <c r="A1314">
        <v>2542</v>
      </c>
      <c r="B1314">
        <v>98.482306763636359</v>
      </c>
    </row>
    <row r="1315" spans="1:2">
      <c r="A1315">
        <v>2544</v>
      </c>
      <c r="B1315">
        <v>98.474946929545453</v>
      </c>
    </row>
    <row r="1316" spans="1:2">
      <c r="A1316">
        <v>2546</v>
      </c>
      <c r="B1316">
        <v>98.476506546818186</v>
      </c>
    </row>
    <row r="1317" spans="1:2">
      <c r="A1317">
        <v>2548</v>
      </c>
      <c r="B1317">
        <v>98.483848199545463</v>
      </c>
    </row>
    <row r="1318" spans="1:2">
      <c r="A1318">
        <v>2550</v>
      </c>
      <c r="B1318">
        <v>98.465958732727287</v>
      </c>
    </row>
    <row r="1319" spans="1:2">
      <c r="A1319">
        <v>2552</v>
      </c>
      <c r="B1319">
        <v>98.472556396818163</v>
      </c>
    </row>
    <row r="1320" spans="1:2">
      <c r="A1320">
        <v>2554</v>
      </c>
      <c r="B1320">
        <v>98.479799273181811</v>
      </c>
    </row>
    <row r="1321" spans="1:2">
      <c r="A1321">
        <v>2556</v>
      </c>
      <c r="B1321">
        <v>98.468415840000006</v>
      </c>
    </row>
    <row r="1322" spans="1:2">
      <c r="A1322">
        <v>2558</v>
      </c>
      <c r="B1322">
        <v>98.460742219090903</v>
      </c>
    </row>
    <row r="1323" spans="1:2">
      <c r="A1323">
        <v>2560</v>
      </c>
      <c r="B1323">
        <v>98.449745388636345</v>
      </c>
    </row>
    <row r="1324" spans="1:2">
      <c r="A1324">
        <v>2562</v>
      </c>
      <c r="B1324">
        <v>98.466171300909082</v>
      </c>
    </row>
    <row r="1325" spans="1:2">
      <c r="A1325">
        <v>2564</v>
      </c>
      <c r="B1325">
        <v>98.461865483636373</v>
      </c>
    </row>
    <row r="1326" spans="1:2">
      <c r="A1326">
        <v>2566</v>
      </c>
      <c r="B1326">
        <v>98.471941305909084</v>
      </c>
    </row>
    <row r="1327" spans="1:2">
      <c r="A1327">
        <v>2568</v>
      </c>
      <c r="B1327">
        <v>98.475157326818177</v>
      </c>
    </row>
    <row r="1328" spans="1:2">
      <c r="A1328">
        <v>2570</v>
      </c>
      <c r="B1328">
        <v>98.467124510909102</v>
      </c>
    </row>
    <row r="1329" spans="1:2">
      <c r="A1329">
        <v>2572</v>
      </c>
      <c r="B1329">
        <v>98.469922179545463</v>
      </c>
    </row>
    <row r="1330" spans="1:2">
      <c r="A1330">
        <v>2574</v>
      </c>
      <c r="B1330">
        <v>98.461406788636353</v>
      </c>
    </row>
    <row r="1331" spans="1:2">
      <c r="A1331">
        <v>2576</v>
      </c>
      <c r="B1331">
        <v>98.46418166272727</v>
      </c>
    </row>
    <row r="1332" spans="1:2">
      <c r="A1332">
        <v>2578</v>
      </c>
      <c r="B1332">
        <v>98.459121725909071</v>
      </c>
    </row>
    <row r="1333" spans="1:2">
      <c r="A1333">
        <v>2580</v>
      </c>
      <c r="B1333">
        <v>98.460199672727256</v>
      </c>
    </row>
    <row r="1334" spans="1:2">
      <c r="A1334">
        <v>2582</v>
      </c>
      <c r="B1334">
        <v>98.539727490000004</v>
      </c>
    </row>
    <row r="1335" spans="1:2">
      <c r="A1335">
        <v>2584</v>
      </c>
      <c r="B1335">
        <v>98.434840560000012</v>
      </c>
    </row>
    <row r="1336" spans="1:2">
      <c r="A1336">
        <v>2586</v>
      </c>
      <c r="B1336">
        <v>98.400396645000001</v>
      </c>
    </row>
    <row r="1337" spans="1:2">
      <c r="A1337">
        <v>2588</v>
      </c>
      <c r="B1337">
        <v>98.383310505000011</v>
      </c>
    </row>
    <row r="1338" spans="1:2">
      <c r="A1338">
        <v>2590</v>
      </c>
      <c r="B1338">
        <v>98.485834310000001</v>
      </c>
    </row>
    <row r="1339" spans="1:2">
      <c r="A1339">
        <v>2592</v>
      </c>
      <c r="B1339">
        <v>98.383765220000001</v>
      </c>
    </row>
    <row r="1340" spans="1:2">
      <c r="A1340">
        <v>2594</v>
      </c>
      <c r="B1340">
        <v>98.378186255000003</v>
      </c>
    </row>
    <row r="1341" spans="1:2">
      <c r="A1341">
        <v>2596</v>
      </c>
      <c r="B1341">
        <v>98.760665250000002</v>
      </c>
    </row>
    <row r="1342" spans="1:2">
      <c r="A1342">
        <v>2598</v>
      </c>
      <c r="B1342">
        <v>98.133442125000002</v>
      </c>
    </row>
    <row r="1343" spans="1:2">
      <c r="A1343">
        <v>2600</v>
      </c>
      <c r="B1343">
        <v>98.604026380000008</v>
      </c>
    </row>
  </sheetData>
  <sheetCalcPr fullCalcOnLoad="1"/>
  <phoneticPr fontId="4" type="noConversion"/>
  <pageMargins left="0.75" right="0.75" top="0.66" bottom="0.64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4" enableFormatConditionsCalculation="0">
    <pageSetUpPr fitToPage="1"/>
  </sheetPr>
  <dimension ref="A1:AJ118"/>
  <sheetViews>
    <sheetView topLeftCell="A71" workbookViewId="0">
      <selection activeCell="A78" sqref="A78:A102"/>
    </sheetView>
  </sheetViews>
  <sheetFormatPr baseColWidth="10" defaultColWidth="8.83203125" defaultRowHeight="12"/>
  <cols>
    <col min="1" max="1" width="9.5" bestFit="1" customWidth="1"/>
    <col min="5" max="5" width="12.1640625" bestFit="1" customWidth="1"/>
    <col min="6" max="7" width="12.1640625" customWidth="1"/>
    <col min="21" max="21" width="14.6640625" customWidth="1"/>
    <col min="22" max="23" width="11.5" customWidth="1"/>
    <col min="27" max="27" width="11.1640625" customWidth="1"/>
    <col min="28" max="28" width="13.1640625" customWidth="1"/>
    <col min="29" max="29" width="8.5" customWidth="1"/>
    <col min="30" max="30" width="11.83203125" customWidth="1"/>
    <col min="31" max="31" width="7" customWidth="1"/>
    <col min="32" max="32" width="7.1640625" customWidth="1"/>
    <col min="33" max="33" width="12.33203125" customWidth="1"/>
    <col min="34" max="34" width="3" customWidth="1"/>
    <col min="35" max="35" width="10.5" customWidth="1"/>
  </cols>
  <sheetData>
    <row r="1" spans="1:22">
      <c r="A1" t="s">
        <v>365</v>
      </c>
      <c r="C1" t="s">
        <v>363</v>
      </c>
    </row>
    <row r="2" spans="1:22">
      <c r="C2" t="s">
        <v>364</v>
      </c>
    </row>
    <row r="4" spans="1:22">
      <c r="A4" t="s">
        <v>339</v>
      </c>
      <c r="H4" t="s">
        <v>349</v>
      </c>
    </row>
    <row r="5" spans="1:22" ht="59.25" customHeight="1">
      <c r="A5" t="s">
        <v>332</v>
      </c>
      <c r="B5" s="5" t="s">
        <v>358</v>
      </c>
      <c r="C5" s="5" t="s">
        <v>359</v>
      </c>
      <c r="D5" s="5" t="s">
        <v>318</v>
      </c>
      <c r="E5" s="5"/>
      <c r="F5" s="5"/>
      <c r="G5" s="21" t="s">
        <v>357</v>
      </c>
      <c r="R5" t="s">
        <v>298</v>
      </c>
      <c r="U5" t="s">
        <v>404</v>
      </c>
    </row>
    <row r="6" spans="1:22" ht="19.5" customHeight="1">
      <c r="A6">
        <v>1.1000000000000001</v>
      </c>
      <c r="B6" s="5"/>
      <c r="C6" s="5"/>
      <c r="D6" s="5"/>
      <c r="E6" s="5"/>
      <c r="F6" s="5"/>
      <c r="G6" s="22"/>
      <c r="R6" t="s">
        <v>299</v>
      </c>
      <c r="S6" t="s">
        <v>300</v>
      </c>
    </row>
    <row r="7" spans="1:22" ht="19.5" customHeight="1">
      <c r="A7">
        <v>1.1499999999999999</v>
      </c>
      <c r="B7" s="5"/>
      <c r="C7" s="5"/>
      <c r="D7" s="5"/>
      <c r="E7" s="5"/>
      <c r="F7" s="5"/>
      <c r="G7" s="22"/>
      <c r="R7">
        <v>0</v>
      </c>
      <c r="S7">
        <v>-158.7158</v>
      </c>
    </row>
    <row r="8" spans="1:22" ht="19.5" customHeight="1">
      <c r="A8">
        <v>1.2</v>
      </c>
      <c r="B8" s="5"/>
      <c r="C8" s="5"/>
      <c r="D8" s="47">
        <f>A8/$A$22</f>
        <v>0.74999999999999978</v>
      </c>
      <c r="E8" s="5"/>
      <c r="F8" s="47">
        <f>1-G8</f>
        <v>7.4999999999999956E-2</v>
      </c>
      <c r="G8" s="48">
        <f>Y50</f>
        <v>0.92500000000000004</v>
      </c>
      <c r="R8">
        <v>1</v>
      </c>
      <c r="S8">
        <v>575.00810000000001</v>
      </c>
    </row>
    <row r="9" spans="1:22" ht="12.75" customHeight="1">
      <c r="A9">
        <v>1.25</v>
      </c>
      <c r="B9" s="5"/>
      <c r="C9" s="5"/>
      <c r="D9" s="47">
        <f t="shared" ref="D9:D38" si="0">A9/$A$22</f>
        <v>0.78124999999999989</v>
      </c>
      <c r="E9" s="5"/>
      <c r="F9" s="47">
        <f t="shared" ref="F9:F38" si="1">1-G9</f>
        <v>3.7499999999999978E-2</v>
      </c>
      <c r="G9" s="48">
        <f>Y51</f>
        <v>0.96250000000000002</v>
      </c>
      <c r="R9">
        <v>2</v>
      </c>
      <c r="S9">
        <v>-861.65440000000001</v>
      </c>
    </row>
    <row r="10" spans="1:22" ht="13">
      <c r="A10">
        <v>1.3</v>
      </c>
      <c r="B10">
        <v>0.97499999999999998</v>
      </c>
      <c r="C10" s="6">
        <f>SQRT(B10)</f>
        <v>0.98742088290657493</v>
      </c>
      <c r="D10" s="47">
        <f t="shared" si="0"/>
        <v>0.81249999999999989</v>
      </c>
      <c r="E10" s="5">
        <f>(A10-$A$10)/($A$38-$A$10)</f>
        <v>0</v>
      </c>
      <c r="F10" s="47">
        <f t="shared" si="1"/>
        <v>2.1000000000000019E-2</v>
      </c>
      <c r="G10" s="48">
        <f>Y52</f>
        <v>0.97899999999999998</v>
      </c>
      <c r="R10">
        <v>3</v>
      </c>
      <c r="S10">
        <v>687.90340000000003</v>
      </c>
      <c r="U10" s="23" t="s">
        <v>371</v>
      </c>
    </row>
    <row r="11" spans="1:22" ht="13">
      <c r="A11">
        <f>0.5*(A12+A10)</f>
        <v>1.3250000000000002</v>
      </c>
      <c r="C11" s="6"/>
      <c r="D11" s="47"/>
      <c r="E11" s="17">
        <f>0.5*(E12+E10)</f>
        <v>3.5714285714285726E-2</v>
      </c>
      <c r="F11">
        <f>0.5*(F12+F10)</f>
        <v>1.6500000000000015E-2</v>
      </c>
      <c r="G11">
        <f>0.5*(G12+G10)</f>
        <v>0.98350000000000004</v>
      </c>
      <c r="U11" s="23"/>
    </row>
    <row r="12" spans="1:22">
      <c r="A12">
        <f>A10+$A$46</f>
        <v>1.35</v>
      </c>
      <c r="B12">
        <v>0.98250000000000004</v>
      </c>
      <c r="C12" s="6">
        <f t="shared" ref="C12:C38" si="2">SQRT(B12)</f>
        <v>0.99121138007995047</v>
      </c>
      <c r="D12" s="47">
        <f t="shared" si="0"/>
        <v>0.84374999999999989</v>
      </c>
      <c r="E12" s="47">
        <f t="shared" ref="E12:E38" si="3">(A12-$A$10)/($A$38-$A$10)</f>
        <v>7.1428571428571452E-2</v>
      </c>
      <c r="F12" s="47">
        <f t="shared" si="1"/>
        <v>1.2000000000000011E-2</v>
      </c>
      <c r="G12" s="48">
        <f>Y53</f>
        <v>0.98799999999999999</v>
      </c>
      <c r="R12">
        <v>4</v>
      </c>
      <c r="S12">
        <v>-308.60199999999998</v>
      </c>
    </row>
    <row r="13" spans="1:22">
      <c r="C13" s="6"/>
      <c r="D13" s="47"/>
      <c r="E13" s="17">
        <f>0.5*(E14+E12)</f>
        <v>0.10714285714285718</v>
      </c>
      <c r="F13">
        <f>0.5*(F14+F12)</f>
        <v>9.000000000000008E-3</v>
      </c>
      <c r="G13">
        <f>0.5*(G14+G12)</f>
        <v>0.99099999999999999</v>
      </c>
    </row>
    <row r="14" spans="1:22" ht="13">
      <c r="A14">
        <f>A12+$A$46</f>
        <v>1.4000000000000001</v>
      </c>
      <c r="B14">
        <v>0.98750000000000004</v>
      </c>
      <c r="C14" s="6">
        <f t="shared" si="2"/>
        <v>0.99373034571758956</v>
      </c>
      <c r="D14" s="47">
        <f t="shared" si="0"/>
        <v>0.87499999999999989</v>
      </c>
      <c r="E14" s="47">
        <f t="shared" si="3"/>
        <v>0.1428571428571429</v>
      </c>
      <c r="F14" s="47">
        <f t="shared" si="1"/>
        <v>6.0000000000000053E-3</v>
      </c>
      <c r="G14" s="48">
        <f>Y54</f>
        <v>0.99399999999999999</v>
      </c>
      <c r="R14">
        <v>5</v>
      </c>
      <c r="S14">
        <v>73.765799999999999</v>
      </c>
      <c r="V14" s="24" t="s">
        <v>372</v>
      </c>
    </row>
    <row r="15" spans="1:22" ht="13">
      <c r="C15" s="6"/>
      <c r="D15" s="47"/>
      <c r="E15" s="17">
        <f>0.5*(E16+E14)</f>
        <v>0.17857142857142863</v>
      </c>
      <c r="F15">
        <f>0.5*(F16+F14)</f>
        <v>5.6249999999999911E-3</v>
      </c>
      <c r="G15">
        <f>0.5*(G16+G14)</f>
        <v>0.99437500000000001</v>
      </c>
      <c r="V15" s="24"/>
    </row>
    <row r="16" spans="1:22">
      <c r="A16">
        <f>A14+$A$46</f>
        <v>1.4500000000000002</v>
      </c>
      <c r="B16">
        <v>0.99250000000000005</v>
      </c>
      <c r="C16" s="6">
        <f t="shared" si="2"/>
        <v>0.9962429422585638</v>
      </c>
      <c r="D16" s="47">
        <f t="shared" si="0"/>
        <v>0.90624999999999989</v>
      </c>
      <c r="E16" s="47">
        <f t="shared" si="3"/>
        <v>0.21428571428571436</v>
      </c>
      <c r="F16" s="47">
        <f t="shared" si="1"/>
        <v>5.2499999999999769E-3</v>
      </c>
      <c r="G16" s="48">
        <f>Y55</f>
        <v>0.99475000000000002</v>
      </c>
      <c r="R16">
        <v>6</v>
      </c>
      <c r="S16">
        <v>-7.3406000000000002</v>
      </c>
    </row>
    <row r="17" spans="1:28">
      <c r="C17" s="6"/>
      <c r="D17" s="47"/>
      <c r="E17" s="17">
        <f>0.5*(E18+E16)</f>
        <v>0.25000000000000011</v>
      </c>
      <c r="F17">
        <f>0.5*(F18+F16)</f>
        <v>4.8749999999999627E-3</v>
      </c>
      <c r="G17">
        <f>0.5*(G18+G16)</f>
        <v>0.99512500000000004</v>
      </c>
    </row>
    <row r="18" spans="1:28" ht="15">
      <c r="A18">
        <f>A16+$A$46</f>
        <v>1.5000000000000002</v>
      </c>
      <c r="B18">
        <v>0.99</v>
      </c>
      <c r="C18" s="6">
        <f t="shared" si="2"/>
        <v>0.99498743710661997</v>
      </c>
      <c r="D18" s="47">
        <f t="shared" si="0"/>
        <v>0.9375</v>
      </c>
      <c r="E18" s="47">
        <f t="shared" si="3"/>
        <v>0.28571428571428581</v>
      </c>
      <c r="F18" s="47">
        <f t="shared" si="1"/>
        <v>4.4999999999999485E-3</v>
      </c>
      <c r="G18" s="48">
        <f>Y56</f>
        <v>0.99550000000000005</v>
      </c>
      <c r="U18" s="25"/>
    </row>
    <row r="19" spans="1:28" ht="15">
      <c r="C19" s="6"/>
      <c r="D19" s="47"/>
      <c r="E19" s="17">
        <f>0.5*(E20+E18)</f>
        <v>0.32142857142857151</v>
      </c>
      <c r="F19">
        <f>0.5*(F20+F18)</f>
        <v>5.2499999999999769E-3</v>
      </c>
      <c r="G19">
        <f>0.5*(G20+G18)</f>
        <v>0.99475000000000002</v>
      </c>
      <c r="U19" s="25"/>
    </row>
    <row r="20" spans="1:28">
      <c r="A20">
        <f>A18+$A$46</f>
        <v>1.5500000000000003</v>
      </c>
      <c r="B20">
        <v>0.98750000000000004</v>
      </c>
      <c r="C20" s="6">
        <f t="shared" si="2"/>
        <v>0.99373034571758956</v>
      </c>
      <c r="D20" s="47">
        <f t="shared" si="0"/>
        <v>0.96875</v>
      </c>
      <c r="E20" s="47">
        <f t="shared" si="3"/>
        <v>0.35714285714285726</v>
      </c>
      <c r="F20" s="47">
        <f t="shared" si="1"/>
        <v>6.0000000000000053E-3</v>
      </c>
      <c r="G20" s="48">
        <v>0.99399999999999999</v>
      </c>
    </row>
    <row r="21" spans="1:28">
      <c r="C21" s="6"/>
      <c r="D21" s="47"/>
      <c r="E21" s="17">
        <f>0.5*(E22+E20)</f>
        <v>0.39285714285714302</v>
      </c>
      <c r="F21">
        <f>0.5*(F22+F20)</f>
        <v>6.7499999999999782E-3</v>
      </c>
      <c r="G21">
        <f>0.5*(G22+G20)</f>
        <v>0.99324999999999997</v>
      </c>
    </row>
    <row r="22" spans="1:28" ht="13">
      <c r="A22" s="19">
        <f>A20+$A$46</f>
        <v>1.6000000000000003</v>
      </c>
      <c r="B22">
        <v>0.98250000000000004</v>
      </c>
      <c r="C22" s="6">
        <f t="shared" si="2"/>
        <v>0.99121138007995047</v>
      </c>
      <c r="D22" s="47">
        <f t="shared" si="0"/>
        <v>1</v>
      </c>
      <c r="E22" s="47">
        <f t="shared" si="3"/>
        <v>0.42857142857142871</v>
      </c>
      <c r="F22" s="47">
        <f t="shared" si="1"/>
        <v>7.4999999999999512E-3</v>
      </c>
      <c r="G22" s="48">
        <v>0.99250000000000005</v>
      </c>
      <c r="U22" s="24" t="s">
        <v>373</v>
      </c>
      <c r="V22" t="s">
        <v>374</v>
      </c>
      <c r="W22" t="s">
        <v>375</v>
      </c>
      <c r="X22" t="s">
        <v>376</v>
      </c>
      <c r="Y22" t="s">
        <v>377</v>
      </c>
      <c r="Z22" t="s">
        <v>373</v>
      </c>
      <c r="AA22" t="s">
        <v>374</v>
      </c>
      <c r="AB22" t="s">
        <v>375</v>
      </c>
    </row>
    <row r="23" spans="1:28" ht="13">
      <c r="A23" s="19"/>
      <c r="C23" s="6"/>
      <c r="D23" s="47"/>
      <c r="E23" s="17">
        <f>0.5*(E24+E22)</f>
        <v>0.46428571428571441</v>
      </c>
      <c r="F23">
        <f>0.5*(F24+F22)</f>
        <v>8.2499999999999796E-3</v>
      </c>
      <c r="G23">
        <f>0.5*(G24+G22)</f>
        <v>0.99175000000000002</v>
      </c>
      <c r="U23" s="24"/>
    </row>
    <row r="24" spans="1:28" ht="13">
      <c r="A24">
        <f>A22+$A$46</f>
        <v>1.6500000000000004</v>
      </c>
      <c r="B24">
        <v>0.97499999999999998</v>
      </c>
      <c r="C24" s="6">
        <f t="shared" si="2"/>
        <v>0.98742088290657493</v>
      </c>
      <c r="D24" s="47">
        <f t="shared" si="0"/>
        <v>1.03125</v>
      </c>
      <c r="E24" s="47">
        <f t="shared" si="3"/>
        <v>0.50000000000000011</v>
      </c>
      <c r="F24" s="47">
        <f t="shared" si="1"/>
        <v>9.000000000000008E-3</v>
      </c>
      <c r="G24" s="48">
        <v>0.99099999999999999</v>
      </c>
      <c r="U24" s="24" t="s">
        <v>378</v>
      </c>
      <c r="V24" t="s">
        <v>379</v>
      </c>
      <c r="W24">
        <v>0.6</v>
      </c>
      <c r="X24" t="s">
        <v>380</v>
      </c>
      <c r="Y24" t="s">
        <v>381</v>
      </c>
      <c r="Z24" t="s">
        <v>382</v>
      </c>
      <c r="AA24" t="s">
        <v>383</v>
      </c>
      <c r="AB24" t="s">
        <v>384</v>
      </c>
    </row>
    <row r="25" spans="1:28" ht="13">
      <c r="C25" s="6"/>
      <c r="D25" s="47"/>
      <c r="E25" s="17">
        <f>0.5*(E26+E24)</f>
        <v>0.53571428571428581</v>
      </c>
      <c r="F25">
        <f>0.5*(F26+F24)</f>
        <v>8.2499999999999796E-3</v>
      </c>
      <c r="G25">
        <f>0.5*(G26+G24)</f>
        <v>0.99175000000000002</v>
      </c>
      <c r="U25" s="24"/>
    </row>
    <row r="26" spans="1:28" ht="13">
      <c r="A26">
        <f>A24+$A$46</f>
        <v>1.7000000000000004</v>
      </c>
      <c r="B26">
        <v>0.98250000000000004</v>
      </c>
      <c r="C26" s="6">
        <f t="shared" si="2"/>
        <v>0.99121138007995047</v>
      </c>
      <c r="D26" s="47">
        <f t="shared" si="0"/>
        <v>1.0625</v>
      </c>
      <c r="E26" s="47">
        <f t="shared" si="3"/>
        <v>0.57142857142857162</v>
      </c>
      <c r="F26" s="47">
        <f t="shared" si="1"/>
        <v>7.4999999999999512E-3</v>
      </c>
      <c r="G26" s="48">
        <v>0.99250000000000005</v>
      </c>
      <c r="U26" s="24" t="s">
        <v>385</v>
      </c>
      <c r="V26" t="s">
        <v>386</v>
      </c>
      <c r="W26">
        <v>0.6</v>
      </c>
      <c r="X26" t="s">
        <v>380</v>
      </c>
      <c r="Y26" t="s">
        <v>381</v>
      </c>
      <c r="Z26" t="s">
        <v>382</v>
      </c>
      <c r="AA26" t="s">
        <v>383</v>
      </c>
      <c r="AB26" t="s">
        <v>387</v>
      </c>
    </row>
    <row r="27" spans="1:28" ht="13">
      <c r="C27" s="6"/>
      <c r="D27" s="47"/>
      <c r="E27" s="17">
        <f>0.5*(E28+E26)</f>
        <v>0.60714285714285732</v>
      </c>
      <c r="F27">
        <f>0.5*(F28+F26)</f>
        <v>6.7499999999999782E-3</v>
      </c>
      <c r="G27">
        <f>0.5*(G28+G26)</f>
        <v>0.99324999999999997</v>
      </c>
      <c r="U27" s="24"/>
    </row>
    <row r="28" spans="1:28" ht="13">
      <c r="A28">
        <f>A26+$A$46</f>
        <v>1.7500000000000004</v>
      </c>
      <c r="B28">
        <v>0.99</v>
      </c>
      <c r="C28" s="6">
        <f t="shared" si="2"/>
        <v>0.99498743710661997</v>
      </c>
      <c r="D28" s="47">
        <f t="shared" si="0"/>
        <v>1.09375</v>
      </c>
      <c r="E28" s="47">
        <f t="shared" si="3"/>
        <v>0.64285714285714302</v>
      </c>
      <c r="F28" s="47">
        <f t="shared" si="1"/>
        <v>6.0000000000000053E-3</v>
      </c>
      <c r="G28" s="48">
        <v>0.99399999999999999</v>
      </c>
      <c r="U28" s="24" t="s">
        <v>388</v>
      </c>
      <c r="V28" t="s">
        <v>389</v>
      </c>
      <c r="W28">
        <v>0.9</v>
      </c>
      <c r="X28" t="s">
        <v>380</v>
      </c>
      <c r="Y28" t="s">
        <v>381</v>
      </c>
      <c r="Z28" t="s">
        <v>382</v>
      </c>
      <c r="AA28" t="s">
        <v>393</v>
      </c>
      <c r="AB28" t="s">
        <v>394</v>
      </c>
    </row>
    <row r="29" spans="1:28" ht="13">
      <c r="C29" s="6"/>
      <c r="D29" s="47"/>
      <c r="E29" s="17">
        <f>0.5*(E30+E28)</f>
        <v>0.67857142857142883</v>
      </c>
      <c r="F29">
        <f>0.5*(F30+F28)</f>
        <v>5.2499999999999769E-3</v>
      </c>
      <c r="G29">
        <f>0.5*(G30+G28)</f>
        <v>0.99475000000000002</v>
      </c>
      <c r="U29" s="24"/>
    </row>
    <row r="30" spans="1:28">
      <c r="A30">
        <f>A28+$A$46</f>
        <v>1.8000000000000005</v>
      </c>
      <c r="B30">
        <v>0.995</v>
      </c>
      <c r="C30" s="6">
        <f t="shared" si="2"/>
        <v>0.99749686716300012</v>
      </c>
      <c r="D30" s="47">
        <f t="shared" si="0"/>
        <v>1.125</v>
      </c>
      <c r="E30" s="47">
        <f t="shared" si="3"/>
        <v>0.71428571428571452</v>
      </c>
      <c r="F30" s="47">
        <f t="shared" si="1"/>
        <v>4.4999999999999485E-3</v>
      </c>
      <c r="G30" s="48">
        <f>Y62</f>
        <v>0.99550000000000005</v>
      </c>
    </row>
    <row r="31" spans="1:28">
      <c r="C31" s="6"/>
      <c r="D31" s="47"/>
      <c r="E31" s="17">
        <f>0.5*(E32+E30)</f>
        <v>0.75000000000000022</v>
      </c>
      <c r="F31">
        <f>0.5*(F32+F30)</f>
        <v>4.8749999999999627E-3</v>
      </c>
      <c r="G31">
        <f>0.5*(G32+G30)</f>
        <v>0.99512500000000004</v>
      </c>
    </row>
    <row r="32" spans="1:28">
      <c r="A32">
        <f>A30+$A$46</f>
        <v>1.8500000000000005</v>
      </c>
      <c r="B32">
        <v>0.99250000000000005</v>
      </c>
      <c r="C32" s="6">
        <f t="shared" si="2"/>
        <v>0.9962429422585638</v>
      </c>
      <c r="D32" s="47">
        <f t="shared" si="0"/>
        <v>1.15625</v>
      </c>
      <c r="E32" s="47">
        <f t="shared" si="3"/>
        <v>0.78571428571428592</v>
      </c>
      <c r="F32" s="47">
        <f t="shared" si="1"/>
        <v>5.2499999999999769E-3</v>
      </c>
      <c r="G32" s="48">
        <f>Y63</f>
        <v>0.99475000000000002</v>
      </c>
    </row>
    <row r="33" spans="1:36">
      <c r="C33" s="6"/>
      <c r="D33" s="47"/>
      <c r="E33" s="17">
        <f>0.5*(E34+E32)</f>
        <v>0.82142857142857162</v>
      </c>
      <c r="F33">
        <f>0.5*(F34+F32)</f>
        <v>5.6249999999999911E-3</v>
      </c>
      <c r="G33">
        <f>0.5*(G34+G32)</f>
        <v>0.99437500000000001</v>
      </c>
    </row>
    <row r="34" spans="1:36" ht="13">
      <c r="A34">
        <f>A32+$A$46</f>
        <v>1.9000000000000006</v>
      </c>
      <c r="B34">
        <v>0.98750000000000004</v>
      </c>
      <c r="C34" s="6">
        <f t="shared" si="2"/>
        <v>0.99373034571758956</v>
      </c>
      <c r="D34" s="47">
        <f t="shared" si="0"/>
        <v>1.1875000000000002</v>
      </c>
      <c r="E34" s="47">
        <f t="shared" si="3"/>
        <v>0.85714285714285743</v>
      </c>
      <c r="F34" s="47">
        <f t="shared" si="1"/>
        <v>6.0000000000000053E-3</v>
      </c>
      <c r="G34" s="48">
        <f>Y64</f>
        <v>0.99399999999999999</v>
      </c>
      <c r="U34" s="24" t="s">
        <v>388</v>
      </c>
      <c r="V34" t="s">
        <v>389</v>
      </c>
      <c r="W34">
        <v>0.6</v>
      </c>
      <c r="X34" t="s">
        <v>380</v>
      </c>
      <c r="Y34" t="s">
        <v>390</v>
      </c>
      <c r="Z34" t="s">
        <v>382</v>
      </c>
      <c r="AA34" t="s">
        <v>391</v>
      </c>
      <c r="AB34" t="s">
        <v>392</v>
      </c>
    </row>
    <row r="35" spans="1:36" ht="13">
      <c r="C35" s="6"/>
      <c r="D35" s="47"/>
      <c r="E35" s="17">
        <f>0.5*(E36+E34)</f>
        <v>0.89285714285714313</v>
      </c>
      <c r="F35">
        <f>0.5*(F36+F34)</f>
        <v>8.2499999999999796E-3</v>
      </c>
      <c r="G35">
        <f>0.5*(G36+G34)</f>
        <v>0.99175000000000002</v>
      </c>
      <c r="U35" s="24"/>
    </row>
    <row r="36" spans="1:36">
      <c r="A36">
        <f>A34+$A$46</f>
        <v>1.9500000000000006</v>
      </c>
      <c r="B36">
        <v>0.98250000000000004</v>
      </c>
      <c r="C36" s="6">
        <f t="shared" si="2"/>
        <v>0.99121138007995047</v>
      </c>
      <c r="D36" s="47">
        <f t="shared" si="0"/>
        <v>1.2187500000000002</v>
      </c>
      <c r="E36" s="47">
        <f t="shared" si="3"/>
        <v>0.92857142857142883</v>
      </c>
      <c r="F36" s="47">
        <f t="shared" si="1"/>
        <v>1.0499999999999954E-2</v>
      </c>
      <c r="G36" s="48">
        <f>Y65</f>
        <v>0.98950000000000005</v>
      </c>
      <c r="AI36">
        <v>2</v>
      </c>
    </row>
    <row r="37" spans="1:36">
      <c r="C37" s="6"/>
      <c r="D37" s="47"/>
      <c r="E37" s="17">
        <f>0.5*(E38+E36)</f>
        <v>0.96428571428571441</v>
      </c>
      <c r="F37">
        <f>0.5*(F38+F36)</f>
        <v>1.2749999999999984E-2</v>
      </c>
      <c r="G37">
        <f>0.5*(G38+G36)</f>
        <v>0.98724999999999996</v>
      </c>
    </row>
    <row r="38" spans="1:36" ht="13">
      <c r="A38">
        <f>A36+$A$46</f>
        <v>2.0000000000000004</v>
      </c>
      <c r="B38">
        <v>0.97499999999999998</v>
      </c>
      <c r="C38" s="6">
        <f t="shared" si="2"/>
        <v>0.98742088290657493</v>
      </c>
      <c r="D38" s="47">
        <f t="shared" si="0"/>
        <v>1.25</v>
      </c>
      <c r="E38" s="47">
        <f t="shared" si="3"/>
        <v>1</v>
      </c>
      <c r="F38" s="47">
        <f t="shared" si="1"/>
        <v>1.5000000000000013E-2</v>
      </c>
      <c r="G38" s="48">
        <f>Y66</f>
        <v>0.98499999999999999</v>
      </c>
      <c r="U38" s="26" t="s">
        <v>395</v>
      </c>
      <c r="V38" s="4" t="s">
        <v>396</v>
      </c>
      <c r="W38" s="4" t="s">
        <v>399</v>
      </c>
      <c r="X38" s="4" t="s">
        <v>403</v>
      </c>
      <c r="AC38" t="s">
        <v>277</v>
      </c>
      <c r="AD38" t="s">
        <v>278</v>
      </c>
      <c r="AE38" t="s">
        <v>279</v>
      </c>
      <c r="AG38" t="s">
        <v>280</v>
      </c>
      <c r="AI38" t="s">
        <v>283</v>
      </c>
      <c r="AJ38" t="s">
        <v>284</v>
      </c>
    </row>
    <row r="39" spans="1:36">
      <c r="U39" s="4" t="s">
        <v>343</v>
      </c>
      <c r="V39" s="4" t="s">
        <v>397</v>
      </c>
      <c r="W39" s="27" t="s">
        <v>400</v>
      </c>
      <c r="X39" s="4">
        <v>2.73</v>
      </c>
      <c r="AB39" t="s">
        <v>287</v>
      </c>
      <c r="AC39">
        <f>0.5*(0.6+2.3)</f>
        <v>1.45</v>
      </c>
      <c r="AD39">
        <f>2.3-0.6</f>
        <v>1.6999999999999997</v>
      </c>
      <c r="AE39" s="3">
        <f>AD39/AC39</f>
        <v>1.1724137931034482</v>
      </c>
      <c r="AG39" s="7">
        <f>SQRT(X39)</f>
        <v>1.6522711641858305</v>
      </c>
      <c r="AI39" s="7">
        <f>$AI$36*AE39</f>
        <v>2.3448275862068964</v>
      </c>
      <c r="AJ39" s="7">
        <f>AI39-AG39</f>
        <v>0.69255642202106582</v>
      </c>
    </row>
    <row r="40" spans="1:36">
      <c r="A40" t="s">
        <v>340</v>
      </c>
      <c r="B40" s="6">
        <f>AVERAGE(B10:B38)</f>
        <v>0.98516666666666663</v>
      </c>
      <c r="C40" s="6">
        <f>AVERAGE(C10:C38)</f>
        <v>0.99255045547237741</v>
      </c>
      <c r="D40" s="6"/>
      <c r="E40" s="6"/>
      <c r="F40" s="6"/>
      <c r="G40" s="6">
        <f>AVERAGE(G10:G38)</f>
        <v>0.99193103448275854</v>
      </c>
      <c r="U40" s="4" t="s">
        <v>345</v>
      </c>
      <c r="V40" s="4" t="s">
        <v>397</v>
      </c>
      <c r="W40" s="4" t="s">
        <v>401</v>
      </c>
      <c r="X40" s="4">
        <v>2.5299999999999998</v>
      </c>
      <c r="AB40" t="s">
        <v>288</v>
      </c>
      <c r="AC40">
        <f>0.5*(0.6+2.3)</f>
        <v>1.45</v>
      </c>
      <c r="AD40">
        <f>2.3-0.6</f>
        <v>1.6999999999999997</v>
      </c>
      <c r="AE40" s="3">
        <f>AD40/AC40</f>
        <v>1.1724137931034482</v>
      </c>
      <c r="AG40" s="7">
        <f>SQRT(X40)</f>
        <v>1.5905973720586866</v>
      </c>
      <c r="AI40" s="7">
        <f t="shared" ref="AI40:AI49" si="4">$AI$36*AE40</f>
        <v>2.3448275862068964</v>
      </c>
      <c r="AJ40" s="7">
        <f>AI40-AG40</f>
        <v>0.75423021414820979</v>
      </c>
    </row>
    <row r="41" spans="1:36">
      <c r="U41" s="4" t="s">
        <v>344</v>
      </c>
      <c r="V41" s="4" t="s">
        <v>398</v>
      </c>
      <c r="W41" s="27" t="s">
        <v>402</v>
      </c>
      <c r="X41" s="4">
        <v>2.75</v>
      </c>
      <c r="AB41" t="s">
        <v>289</v>
      </c>
      <c r="AC41">
        <f>0.5*(0.9+2.3)</f>
        <v>1.5999999999999999</v>
      </c>
      <c r="AD41">
        <f>2.3-0.9</f>
        <v>1.4</v>
      </c>
      <c r="AE41" s="3">
        <f>AD41/AC41</f>
        <v>0.875</v>
      </c>
      <c r="AG41" s="7">
        <f>SQRT(X41)</f>
        <v>1.6583123951776999</v>
      </c>
      <c r="AI41" s="7">
        <f t="shared" si="4"/>
        <v>1.75</v>
      </c>
      <c r="AJ41" s="7">
        <f>AI41-AG41</f>
        <v>9.1687604822300095E-2</v>
      </c>
    </row>
    <row r="42" spans="1:36">
      <c r="A42" t="s">
        <v>319</v>
      </c>
      <c r="D42">
        <f>(A38-A10)/((A10+A38)/2)</f>
        <v>0.42424242424242442</v>
      </c>
      <c r="AB42" t="s">
        <v>281</v>
      </c>
      <c r="AC42">
        <v>1.65</v>
      </c>
      <c r="AD42">
        <v>0.7</v>
      </c>
      <c r="AE42" s="3">
        <f>AD42/AC42</f>
        <v>0.42424242424242425</v>
      </c>
      <c r="AG42">
        <v>0.75</v>
      </c>
      <c r="AI42" s="7">
        <f t="shared" si="4"/>
        <v>0.84848484848484851</v>
      </c>
      <c r="AJ42" s="7">
        <f>AI42-AG42</f>
        <v>9.8484848484848508E-2</v>
      </c>
    </row>
    <row r="43" spans="1:36">
      <c r="AB43" t="s">
        <v>270</v>
      </c>
      <c r="AC43">
        <v>1.6</v>
      </c>
      <c r="AD43">
        <v>0.8</v>
      </c>
      <c r="AE43" s="3">
        <f t="shared" ref="AE43:AE48" si="5">AD43/AC43</f>
        <v>0.5</v>
      </c>
      <c r="AI43" s="7">
        <f t="shared" si="4"/>
        <v>1</v>
      </c>
    </row>
    <row r="44" spans="1:36">
      <c r="AB44" t="s">
        <v>271</v>
      </c>
      <c r="AC44">
        <v>1.55</v>
      </c>
      <c r="AD44">
        <v>0.9</v>
      </c>
      <c r="AE44" s="3">
        <f t="shared" si="5"/>
        <v>0.58064516129032262</v>
      </c>
      <c r="AI44" s="7">
        <f t="shared" si="4"/>
        <v>1.1612903225806452</v>
      </c>
    </row>
    <row r="45" spans="1:36">
      <c r="AB45" t="s">
        <v>282</v>
      </c>
      <c r="AC45">
        <v>1.5</v>
      </c>
      <c r="AD45">
        <v>1</v>
      </c>
      <c r="AE45" s="3">
        <f t="shared" si="5"/>
        <v>0.66666666666666663</v>
      </c>
      <c r="AI45" s="7">
        <f t="shared" si="4"/>
        <v>1.3333333333333333</v>
      </c>
    </row>
    <row r="46" spans="1:36">
      <c r="A46">
        <v>0.05</v>
      </c>
      <c r="C46" t="s">
        <v>369</v>
      </c>
      <c r="V46">
        <v>1.5</v>
      </c>
      <c r="X46" t="s">
        <v>354</v>
      </c>
      <c r="AB46" s="5" t="s">
        <v>285</v>
      </c>
      <c r="AC46">
        <v>1.55</v>
      </c>
      <c r="AD46">
        <v>0.9</v>
      </c>
      <c r="AE46" s="3">
        <f t="shared" si="5"/>
        <v>0.58064516129032262</v>
      </c>
      <c r="AG46">
        <f>100*(1-0.9874)</f>
        <v>1.2599999999999945</v>
      </c>
      <c r="AI46" s="7">
        <f t="shared" si="4"/>
        <v>1.1612903225806452</v>
      </c>
      <c r="AJ46" s="7">
        <f>AI46-AG46</f>
        <v>-9.8709677419349218E-2</v>
      </c>
    </row>
    <row r="47" spans="1:36" ht="36">
      <c r="U47" s="5" t="s">
        <v>351</v>
      </c>
      <c r="V47" t="s">
        <v>355</v>
      </c>
      <c r="W47" t="s">
        <v>353</v>
      </c>
      <c r="X47" s="5" t="s">
        <v>405</v>
      </c>
      <c r="Y47" s="5" t="s">
        <v>356</v>
      </c>
      <c r="Z47" s="5" t="s">
        <v>406</v>
      </c>
      <c r="AA47" s="5"/>
      <c r="AB47" s="5" t="s">
        <v>286</v>
      </c>
      <c r="AC47">
        <v>1.6</v>
      </c>
      <c r="AD47">
        <v>0.8</v>
      </c>
      <c r="AE47" s="3">
        <f t="shared" si="5"/>
        <v>0.5</v>
      </c>
      <c r="AG47" s="7">
        <f>100*(1-X71)</f>
        <v>0.97058823529413418</v>
      </c>
      <c r="AI47" s="7">
        <f t="shared" si="4"/>
        <v>1</v>
      </c>
      <c r="AJ47" s="7">
        <f>AI47-AG47</f>
        <v>2.9411764705865817E-2</v>
      </c>
    </row>
    <row r="48" spans="1:36">
      <c r="T48" s="35">
        <v>1.1000000000000001</v>
      </c>
      <c r="U48" s="36">
        <v>2.5000000000000001E-2</v>
      </c>
      <c r="V48">
        <f>U48*$V$46</f>
        <v>3.7500000000000006E-2</v>
      </c>
      <c r="W48">
        <f>V48-U48</f>
        <v>1.2500000000000004E-2</v>
      </c>
      <c r="X48">
        <f>1-2*V48</f>
        <v>0.92500000000000004</v>
      </c>
      <c r="Y48" s="6">
        <v>0.76276108140010912</v>
      </c>
      <c r="Z48" s="5">
        <f>X49</f>
        <v>0.96250000000000002</v>
      </c>
      <c r="AA48" s="5"/>
      <c r="AB48" s="29"/>
      <c r="AC48">
        <v>1.65</v>
      </c>
      <c r="AD48">
        <v>0</v>
      </c>
      <c r="AE48" s="3">
        <f t="shared" si="5"/>
        <v>0</v>
      </c>
      <c r="AG48">
        <v>0</v>
      </c>
      <c r="AI48" s="7">
        <f t="shared" si="4"/>
        <v>0</v>
      </c>
    </row>
    <row r="49" spans="1:35">
      <c r="T49">
        <v>1.1499999999999999</v>
      </c>
      <c r="U49" s="5">
        <v>1.2500000000000001E-2</v>
      </c>
      <c r="V49">
        <f>U49*$V$46</f>
        <v>1.8750000000000003E-2</v>
      </c>
      <c r="W49">
        <f>V49-U49</f>
        <v>6.2500000000000021E-3</v>
      </c>
      <c r="X49">
        <f>1-2*V49</f>
        <v>0.96250000000000002</v>
      </c>
      <c r="Y49" s="6">
        <v>0.8639458780406386</v>
      </c>
      <c r="Z49" s="5">
        <f t="shared" ref="Z49:Z67" si="6">X50</f>
        <v>0.97899999999999998</v>
      </c>
      <c r="AC49">
        <f>0.5*(0.6+2.3)</f>
        <v>1.45</v>
      </c>
      <c r="AD49">
        <f>2.3-0.6</f>
        <v>1.6999999999999997</v>
      </c>
      <c r="AE49" s="3">
        <f>AD49/AC49</f>
        <v>1.1724137931034482</v>
      </c>
      <c r="AI49" s="7">
        <f t="shared" si="4"/>
        <v>2.3448275862068964</v>
      </c>
    </row>
    <row r="50" spans="1:35">
      <c r="T50">
        <v>1.2</v>
      </c>
      <c r="U50">
        <v>7.0000000000000001E-3</v>
      </c>
      <c r="V50">
        <f>U50*$V$46</f>
        <v>1.0500000000000001E-2</v>
      </c>
      <c r="W50">
        <f>V50-U50</f>
        <v>3.5000000000000005E-3</v>
      </c>
      <c r="X50">
        <f>1-2*V50</f>
        <v>0.97899999999999998</v>
      </c>
      <c r="Y50">
        <f>X48</f>
        <v>0.92500000000000004</v>
      </c>
      <c r="Z50" s="5">
        <f t="shared" si="6"/>
        <v>0.98799999999999999</v>
      </c>
    </row>
    <row r="51" spans="1:35">
      <c r="T51">
        <f>T50+0.05</f>
        <v>1.25</v>
      </c>
      <c r="U51">
        <v>4.0000000000000001E-3</v>
      </c>
      <c r="V51">
        <f t="shared" ref="V51:V68" si="7">U51*$V$46</f>
        <v>6.0000000000000001E-3</v>
      </c>
      <c r="W51">
        <f t="shared" ref="W51:W68" si="8">V51-U51</f>
        <v>2E-3</v>
      </c>
      <c r="X51">
        <f t="shared" ref="X51:X68" si="9">1-2*V51</f>
        <v>0.98799999999999999</v>
      </c>
      <c r="Y51">
        <f>X49</f>
        <v>0.96250000000000002</v>
      </c>
      <c r="Z51" s="5">
        <f t="shared" si="6"/>
        <v>0.99399999999999999</v>
      </c>
    </row>
    <row r="52" spans="1:35">
      <c r="T52">
        <f t="shared" ref="T52:T67" si="10">T51+0.05</f>
        <v>1.3</v>
      </c>
      <c r="U52">
        <v>2E-3</v>
      </c>
      <c r="V52">
        <f t="shared" si="7"/>
        <v>3.0000000000000001E-3</v>
      </c>
      <c r="W52">
        <f t="shared" si="8"/>
        <v>1E-3</v>
      </c>
      <c r="X52">
        <f t="shared" si="9"/>
        <v>0.99399999999999999</v>
      </c>
      <c r="Y52">
        <f>X50</f>
        <v>0.97899999999999998</v>
      </c>
      <c r="Z52" s="5">
        <f t="shared" si="6"/>
        <v>0.99475000000000002</v>
      </c>
    </row>
    <row r="53" spans="1:35">
      <c r="T53">
        <f t="shared" si="10"/>
        <v>1.35</v>
      </c>
      <c r="U53">
        <f>0.5*(U52+U54)</f>
        <v>1.75E-3</v>
      </c>
      <c r="V53">
        <f t="shared" si="7"/>
        <v>2.6250000000000002E-3</v>
      </c>
      <c r="W53">
        <f t="shared" si="8"/>
        <v>8.7500000000000013E-4</v>
      </c>
      <c r="X53">
        <f t="shared" si="9"/>
        <v>0.99475000000000002</v>
      </c>
      <c r="Y53">
        <f t="shared" ref="Y53:Y68" si="11">X51</f>
        <v>0.98799999999999999</v>
      </c>
      <c r="Z53" s="5">
        <f t="shared" si="6"/>
        <v>0.99550000000000005</v>
      </c>
    </row>
    <row r="54" spans="1:35">
      <c r="T54">
        <f t="shared" si="10"/>
        <v>1.4000000000000001</v>
      </c>
      <c r="U54">
        <v>1.5E-3</v>
      </c>
      <c r="V54">
        <f t="shared" si="7"/>
        <v>2.2500000000000003E-3</v>
      </c>
      <c r="W54">
        <f t="shared" si="8"/>
        <v>7.5000000000000023E-4</v>
      </c>
      <c r="X54">
        <f t="shared" si="9"/>
        <v>0.99550000000000005</v>
      </c>
      <c r="Y54">
        <f t="shared" si="11"/>
        <v>0.99399999999999999</v>
      </c>
      <c r="Z54" s="5">
        <f t="shared" si="6"/>
        <v>0.99550000000000005</v>
      </c>
      <c r="AD54" s="4" t="s">
        <v>290</v>
      </c>
      <c r="AE54" s="4"/>
    </row>
    <row r="55" spans="1:35">
      <c r="T55">
        <f t="shared" si="10"/>
        <v>1.4500000000000002</v>
      </c>
      <c r="U55">
        <f>0.5*(U54+U56)</f>
        <v>1.5E-3</v>
      </c>
      <c r="V55">
        <f t="shared" si="7"/>
        <v>2.2500000000000003E-3</v>
      </c>
      <c r="W55">
        <f t="shared" si="8"/>
        <v>7.5000000000000023E-4</v>
      </c>
      <c r="X55">
        <f t="shared" si="9"/>
        <v>0.99550000000000005</v>
      </c>
      <c r="Y55">
        <f t="shared" si="11"/>
        <v>0.99475000000000002</v>
      </c>
      <c r="Z55" s="5">
        <f t="shared" si="6"/>
        <v>0.99550000000000005</v>
      </c>
      <c r="AD55" s="4" t="s">
        <v>291</v>
      </c>
      <c r="AE55" s="4">
        <v>6</v>
      </c>
    </row>
    <row r="56" spans="1:35">
      <c r="T56">
        <f t="shared" si="10"/>
        <v>1.5000000000000002</v>
      </c>
      <c r="U56">
        <v>1.5E-3</v>
      </c>
      <c r="V56">
        <f t="shared" si="7"/>
        <v>2.2500000000000003E-3</v>
      </c>
      <c r="W56">
        <f t="shared" si="8"/>
        <v>7.5000000000000023E-4</v>
      </c>
      <c r="X56">
        <f t="shared" si="9"/>
        <v>0.99550000000000005</v>
      </c>
      <c r="Y56">
        <f t="shared" si="11"/>
        <v>0.99550000000000005</v>
      </c>
      <c r="Z56" s="5">
        <f t="shared" si="6"/>
        <v>0.99550000000000005</v>
      </c>
      <c r="AD56" s="4" t="s">
        <v>292</v>
      </c>
      <c r="AE56" s="4">
        <v>10</v>
      </c>
    </row>
    <row r="57" spans="1:35">
      <c r="T57">
        <f t="shared" si="10"/>
        <v>1.5500000000000003</v>
      </c>
      <c r="U57">
        <f>0.5*(U56+U58)</f>
        <v>1.5E-3</v>
      </c>
      <c r="V57">
        <f t="shared" si="7"/>
        <v>2.2500000000000003E-3</v>
      </c>
      <c r="W57">
        <f t="shared" si="8"/>
        <v>7.5000000000000023E-4</v>
      </c>
      <c r="X57">
        <f t="shared" si="9"/>
        <v>0.99550000000000005</v>
      </c>
      <c r="Y57">
        <f t="shared" si="11"/>
        <v>0.99550000000000005</v>
      </c>
      <c r="Z57" s="5">
        <f t="shared" si="6"/>
        <v>0.99550000000000005</v>
      </c>
    </row>
    <row r="58" spans="1:35" ht="54.75" customHeight="1">
      <c r="T58">
        <f t="shared" si="10"/>
        <v>1.6000000000000003</v>
      </c>
      <c r="U58">
        <v>1.5E-3</v>
      </c>
      <c r="V58">
        <f t="shared" si="7"/>
        <v>2.2500000000000003E-3</v>
      </c>
      <c r="W58">
        <f t="shared" si="8"/>
        <v>7.5000000000000023E-4</v>
      </c>
      <c r="X58">
        <f t="shared" si="9"/>
        <v>0.99550000000000005</v>
      </c>
      <c r="Y58">
        <f t="shared" si="11"/>
        <v>0.99550000000000005</v>
      </c>
      <c r="Z58" s="5">
        <f t="shared" si="6"/>
        <v>0.99550000000000005</v>
      </c>
      <c r="AD58" s="45" t="s">
        <v>297</v>
      </c>
      <c r="AE58" s="4" t="s">
        <v>293</v>
      </c>
      <c r="AF58" s="4" t="s">
        <v>294</v>
      </c>
      <c r="AG58" s="4" t="s">
        <v>295</v>
      </c>
      <c r="AH58" s="4"/>
      <c r="AI58" s="4" t="s">
        <v>296</v>
      </c>
    </row>
    <row r="59" spans="1:35">
      <c r="T59">
        <f t="shared" si="10"/>
        <v>1.6500000000000004</v>
      </c>
      <c r="U59">
        <f>0.5*(U58+U60)</f>
        <v>1.5E-3</v>
      </c>
      <c r="V59">
        <f t="shared" si="7"/>
        <v>2.2500000000000003E-3</v>
      </c>
      <c r="W59">
        <f t="shared" si="8"/>
        <v>7.5000000000000023E-4</v>
      </c>
      <c r="X59">
        <f t="shared" si="9"/>
        <v>0.99550000000000005</v>
      </c>
      <c r="Y59">
        <f t="shared" si="11"/>
        <v>0.99550000000000005</v>
      </c>
      <c r="Z59" s="5">
        <f t="shared" si="6"/>
        <v>0.99550000000000005</v>
      </c>
      <c r="AD59" s="4" t="s">
        <v>281</v>
      </c>
      <c r="AE59" s="46">
        <f>(1-(AI42/100))^$AE$56</f>
        <v>0.91831896037561878</v>
      </c>
      <c r="AF59" s="46">
        <f>(1-(AI42/100))^$AE$55</f>
        <v>0.95015865944352651</v>
      </c>
      <c r="AG59" s="46"/>
      <c r="AH59" s="46"/>
      <c r="AI59" s="46"/>
    </row>
    <row r="60" spans="1:35">
      <c r="T60">
        <f t="shared" si="10"/>
        <v>1.7000000000000004</v>
      </c>
      <c r="U60">
        <v>1.5E-3</v>
      </c>
      <c r="V60">
        <f t="shared" si="7"/>
        <v>2.2500000000000003E-3</v>
      </c>
      <c r="W60">
        <f t="shared" si="8"/>
        <v>7.5000000000000023E-4</v>
      </c>
      <c r="X60">
        <f t="shared" si="9"/>
        <v>0.99550000000000005</v>
      </c>
      <c r="Y60">
        <f t="shared" si="11"/>
        <v>0.99550000000000005</v>
      </c>
      <c r="Z60" s="5">
        <f t="shared" si="6"/>
        <v>0.99475000000000002</v>
      </c>
      <c r="AD60" s="4" t="s">
        <v>270</v>
      </c>
      <c r="AE60" s="46">
        <f>(1-(AI43/100))^$AE$56</f>
        <v>0.9043820750088043</v>
      </c>
      <c r="AF60" s="46">
        <f>(1-(AI43/100))^$AE$55</f>
        <v>0.94148014940099989</v>
      </c>
      <c r="AG60" s="46">
        <f>AE60/AE$59</f>
        <v>0.98482348076411941</v>
      </c>
      <c r="AH60" s="46"/>
      <c r="AI60" s="46">
        <f>AF60/AF$59</f>
        <v>0.99086625169778564</v>
      </c>
    </row>
    <row r="61" spans="1:35">
      <c r="T61">
        <f t="shared" si="10"/>
        <v>1.7500000000000004</v>
      </c>
      <c r="U61">
        <f>0.5*(U60+U62)</f>
        <v>1.75E-3</v>
      </c>
      <c r="V61">
        <f t="shared" si="7"/>
        <v>2.6250000000000002E-3</v>
      </c>
      <c r="W61">
        <f t="shared" si="8"/>
        <v>8.7500000000000013E-4</v>
      </c>
      <c r="X61">
        <f t="shared" si="9"/>
        <v>0.99475000000000002</v>
      </c>
      <c r="Y61">
        <f t="shared" si="11"/>
        <v>0.99550000000000005</v>
      </c>
      <c r="Z61" s="5">
        <f t="shared" si="6"/>
        <v>0.99399999999999999</v>
      </c>
      <c r="AD61" s="4" t="s">
        <v>271</v>
      </c>
      <c r="AE61" s="46">
        <f>(1-(AI44/100))^$AE$56</f>
        <v>0.88975547951046419</v>
      </c>
      <c r="AF61" s="46">
        <f>(1-(AI44/100))^$AE$55</f>
        <v>0.93231442279531507</v>
      </c>
      <c r="AG61" s="46">
        <f>AE61/AE$59</f>
        <v>0.96889590425806815</v>
      </c>
      <c r="AH61" s="46"/>
      <c r="AI61" s="46">
        <f>AF61/AF$59</f>
        <v>0.98121972949374359</v>
      </c>
    </row>
    <row r="62" spans="1:35">
      <c r="A62" s="28">
        <v>39715</v>
      </c>
      <c r="T62">
        <f t="shared" si="10"/>
        <v>1.8000000000000005</v>
      </c>
      <c r="U62">
        <v>2E-3</v>
      </c>
      <c r="V62">
        <f t="shared" si="7"/>
        <v>3.0000000000000001E-3</v>
      </c>
      <c r="W62">
        <f t="shared" si="8"/>
        <v>1E-3</v>
      </c>
      <c r="X62">
        <f t="shared" si="9"/>
        <v>0.99399999999999999</v>
      </c>
      <c r="Y62">
        <f t="shared" si="11"/>
        <v>0.99550000000000005</v>
      </c>
      <c r="Z62" s="5">
        <f t="shared" si="6"/>
        <v>0.98950000000000005</v>
      </c>
      <c r="AD62" s="4" t="s">
        <v>282</v>
      </c>
      <c r="AE62" s="46">
        <f>(1-(AI45/100))^$AE$56</f>
        <v>0.87438875423763984</v>
      </c>
      <c r="AF62" s="46">
        <f>(1-(AI45/100))^$AE$55</f>
        <v>0.92261973081055726</v>
      </c>
      <c r="AG62" s="46">
        <f>AE62/AE$59</f>
        <v>0.95216236620007255</v>
      </c>
      <c r="AH62" s="46"/>
      <c r="AI62" s="46">
        <f>AF62/AF$59</f>
        <v>0.97101649460407191</v>
      </c>
    </row>
    <row r="63" spans="1:35">
      <c r="A63" t="s">
        <v>301</v>
      </c>
      <c r="T63">
        <f t="shared" si="10"/>
        <v>1.8500000000000005</v>
      </c>
      <c r="U63">
        <f>0.5*(U62+U64)</f>
        <v>3.5000000000000001E-3</v>
      </c>
      <c r="V63">
        <f t="shared" si="7"/>
        <v>5.2500000000000003E-3</v>
      </c>
      <c r="W63">
        <f t="shared" si="8"/>
        <v>1.7500000000000003E-3</v>
      </c>
      <c r="X63">
        <f t="shared" si="9"/>
        <v>0.98950000000000005</v>
      </c>
      <c r="Y63">
        <f t="shared" si="11"/>
        <v>0.99475000000000002</v>
      </c>
      <c r="Z63" s="5">
        <f t="shared" si="6"/>
        <v>0.98499999999999999</v>
      </c>
    </row>
    <row r="64" spans="1:35">
      <c r="A64" t="s">
        <v>302</v>
      </c>
      <c r="T64">
        <f t="shared" si="10"/>
        <v>1.9000000000000006</v>
      </c>
      <c r="U64">
        <v>5.0000000000000001E-3</v>
      </c>
      <c r="V64">
        <f t="shared" si="7"/>
        <v>7.4999999999999997E-3</v>
      </c>
      <c r="W64">
        <f t="shared" si="8"/>
        <v>2.4999999999999996E-3</v>
      </c>
      <c r="X64">
        <f t="shared" si="9"/>
        <v>0.98499999999999999</v>
      </c>
      <c r="Y64">
        <f t="shared" si="11"/>
        <v>0.99399999999999999</v>
      </c>
      <c r="Z64" s="5">
        <f t="shared" si="6"/>
        <v>0.97750000000000004</v>
      </c>
    </row>
    <row r="65" spans="1:26">
      <c r="A65" t="s">
        <v>303</v>
      </c>
      <c r="T65">
        <f t="shared" si="10"/>
        <v>1.9500000000000006</v>
      </c>
      <c r="U65">
        <f>0.5*(U64+U66)</f>
        <v>7.4999999999999997E-3</v>
      </c>
      <c r="V65">
        <f t="shared" si="7"/>
        <v>1.125E-2</v>
      </c>
      <c r="W65">
        <f t="shared" si="8"/>
        <v>3.7499999999999999E-3</v>
      </c>
      <c r="X65">
        <f t="shared" si="9"/>
        <v>0.97750000000000004</v>
      </c>
      <c r="Y65">
        <f t="shared" si="11"/>
        <v>0.98950000000000005</v>
      </c>
      <c r="Z65" s="5">
        <f t="shared" si="6"/>
        <v>0.97</v>
      </c>
    </row>
    <row r="66" spans="1:26">
      <c r="T66">
        <f t="shared" si="10"/>
        <v>2.0000000000000004</v>
      </c>
      <c r="U66">
        <v>0.01</v>
      </c>
      <c r="V66">
        <f t="shared" si="7"/>
        <v>1.4999999999999999E-2</v>
      </c>
      <c r="W66">
        <f t="shared" si="8"/>
        <v>4.9999999999999992E-3</v>
      </c>
      <c r="X66">
        <f t="shared" si="9"/>
        <v>0.97</v>
      </c>
      <c r="Y66">
        <f t="shared" si="11"/>
        <v>0.98499999999999999</v>
      </c>
      <c r="Z66" s="5">
        <f t="shared" si="6"/>
        <v>0.96399999999999997</v>
      </c>
    </row>
    <row r="67" spans="1:26">
      <c r="T67">
        <f t="shared" si="10"/>
        <v>2.0500000000000003</v>
      </c>
      <c r="U67">
        <v>1.2E-2</v>
      </c>
      <c r="V67">
        <f t="shared" si="7"/>
        <v>1.8000000000000002E-2</v>
      </c>
      <c r="W67">
        <f t="shared" si="8"/>
        <v>6.0000000000000019E-3</v>
      </c>
      <c r="X67">
        <f t="shared" si="9"/>
        <v>0.96399999999999997</v>
      </c>
      <c r="Y67">
        <f t="shared" si="11"/>
        <v>0.97750000000000004</v>
      </c>
      <c r="Z67" s="5">
        <f t="shared" si="6"/>
        <v>0.94750000000000001</v>
      </c>
    </row>
    <row r="68" spans="1:26">
      <c r="T68" s="35">
        <v>2.1</v>
      </c>
      <c r="U68" s="35">
        <v>1.7500000000000002E-2</v>
      </c>
      <c r="V68">
        <f t="shared" si="7"/>
        <v>2.6250000000000002E-2</v>
      </c>
      <c r="W68">
        <f t="shared" si="8"/>
        <v>8.7500000000000008E-3</v>
      </c>
      <c r="X68">
        <f t="shared" si="9"/>
        <v>0.94750000000000001</v>
      </c>
      <c r="Y68">
        <f t="shared" si="11"/>
        <v>0.97</v>
      </c>
    </row>
    <row r="69" spans="1:26">
      <c r="T69" t="s">
        <v>350</v>
      </c>
      <c r="U69" s="17">
        <f t="shared" ref="U69:Z69" si="12">AVERAGE(U52:U66)</f>
        <v>2.9333333333333334E-3</v>
      </c>
      <c r="V69" s="17">
        <f t="shared" si="12"/>
        <v>4.4000000000000003E-3</v>
      </c>
      <c r="W69" s="17">
        <f t="shared" si="12"/>
        <v>1.4666666666666671E-3</v>
      </c>
      <c r="X69" s="17">
        <f t="shared" si="12"/>
        <v>0.99119999999999997</v>
      </c>
      <c r="Y69" s="44">
        <f t="shared" si="12"/>
        <v>0.99249999999999983</v>
      </c>
      <c r="Z69" s="17">
        <f t="shared" si="12"/>
        <v>0.98920000000000008</v>
      </c>
    </row>
    <row r="71" spans="1:26">
      <c r="T71" t="s">
        <v>407</v>
      </c>
      <c r="X71" s="43">
        <f>AVERAGE(X50:X66)</f>
        <v>0.99029411764705866</v>
      </c>
      <c r="Y71" s="6"/>
      <c r="Z71" s="6">
        <f>AVERAGE(Z50:Z66)</f>
        <v>0.98941176470588232</v>
      </c>
    </row>
    <row r="72" spans="1:26">
      <c r="A72" t="s">
        <v>185</v>
      </c>
      <c r="B72" t="s">
        <v>193</v>
      </c>
      <c r="C72" t="s">
        <v>192</v>
      </c>
      <c r="D72" s="133" t="s">
        <v>81</v>
      </c>
      <c r="T72" t="s">
        <v>408</v>
      </c>
      <c r="X72" s="6">
        <f>AVERAGE(X48:X66)</f>
        <v>0.9853947368421051</v>
      </c>
      <c r="Y72" s="6"/>
      <c r="Z72" s="43">
        <f>AVERAGE(Z48:Z66)</f>
        <v>0.9874473684210523</v>
      </c>
    </row>
    <row r="73" spans="1:26">
      <c r="A73">
        <v>0.9</v>
      </c>
      <c r="B73">
        <v>0.96244827586206894</v>
      </c>
      <c r="C73">
        <f>2-2*B73</f>
        <v>7.5103448275862128E-2</v>
      </c>
      <c r="D73">
        <f>B73^2</f>
        <v>0.92630668370986913</v>
      </c>
    </row>
    <row r="74" spans="1:26" ht="13" thickBot="1">
      <c r="A74">
        <v>0.93793103448275861</v>
      </c>
      <c r="B74">
        <v>0.96244827586206894</v>
      </c>
      <c r="D74">
        <f t="shared" ref="D74:D102" si="13">B74^2</f>
        <v>0.92630668370986913</v>
      </c>
    </row>
    <row r="75" spans="1:26">
      <c r="A75">
        <v>0.97586206896551719</v>
      </c>
      <c r="B75">
        <v>0.97049507389162559</v>
      </c>
      <c r="D75">
        <f t="shared" si="13"/>
        <v>0.94186068844791182</v>
      </c>
      <c r="T75" s="9" t="s">
        <v>276</v>
      </c>
      <c r="U75" s="10"/>
      <c r="V75" s="10"/>
      <c r="W75" s="11"/>
    </row>
    <row r="76" spans="1:26" ht="24">
      <c r="A76">
        <v>1.0137931034482759</v>
      </c>
      <c r="B76">
        <v>0.97854187192118225</v>
      </c>
      <c r="D76">
        <f t="shared" si="13"/>
        <v>0.95754419510301148</v>
      </c>
      <c r="T76" s="12" t="s">
        <v>275</v>
      </c>
      <c r="U76" s="8" t="s">
        <v>272</v>
      </c>
      <c r="V76" s="20" t="s">
        <v>409</v>
      </c>
      <c r="W76" s="37" t="s">
        <v>410</v>
      </c>
    </row>
    <row r="77" spans="1:26">
      <c r="A77">
        <v>1.0517241379310345</v>
      </c>
      <c r="B77">
        <v>0.98390640394088669</v>
      </c>
      <c r="D77">
        <f t="shared" si="13"/>
        <v>0.9680718117158873</v>
      </c>
      <c r="T77" s="12"/>
      <c r="U77" s="8"/>
      <c r="V77" s="8">
        <v>8</v>
      </c>
      <c r="W77" s="13">
        <v>12</v>
      </c>
    </row>
    <row r="78" spans="1:26" ht="24">
      <c r="A78">
        <v>1.0896551724137931</v>
      </c>
      <c r="B78">
        <v>0.98927093596059112</v>
      </c>
      <c r="D78">
        <f t="shared" si="13"/>
        <v>0.97865698473634399</v>
      </c>
      <c r="T78" s="38" t="s">
        <v>411</v>
      </c>
      <c r="U78" s="39">
        <f>Y69</f>
        <v>0.99249999999999983</v>
      </c>
      <c r="V78" s="39">
        <f>U78^$V$77</f>
        <v>0.94155159516044007</v>
      </c>
      <c r="W78" s="31">
        <f>U78^$W$77</f>
        <v>0.91362123507980408</v>
      </c>
    </row>
    <row r="79" spans="1:26">
      <c r="A79">
        <v>1.1275862068965516</v>
      </c>
      <c r="B79">
        <v>0.98994150246305423</v>
      </c>
      <c r="D79">
        <f t="shared" si="13"/>
        <v>0.97998417829880924</v>
      </c>
      <c r="T79" s="12" t="s">
        <v>270</v>
      </c>
      <c r="U79" s="39">
        <f>X71</f>
        <v>0.99029411764705866</v>
      </c>
      <c r="V79" s="39">
        <f>U79^$V$77</f>
        <v>0.92494007112138232</v>
      </c>
      <c r="W79" s="31">
        <f>U79^$W$77</f>
        <v>0.88955005762790751</v>
      </c>
    </row>
    <row r="80" spans="1:26">
      <c r="A80">
        <v>1.1655172413793102</v>
      </c>
      <c r="B80">
        <v>0.99061206896551723</v>
      </c>
      <c r="D80">
        <f t="shared" si="13"/>
        <v>0.98131227118014264</v>
      </c>
      <c r="T80" s="12" t="s">
        <v>271</v>
      </c>
      <c r="U80" s="39">
        <f>Z72</f>
        <v>0.9874473684210523</v>
      </c>
      <c r="V80" s="39">
        <f>U80^$V$77</f>
        <v>0.90388182523776339</v>
      </c>
      <c r="W80" s="31">
        <f>U80^$W$77</f>
        <v>0.85934485449828935</v>
      </c>
    </row>
    <row r="81" spans="1:23">
      <c r="A81">
        <v>1.2034482758620688</v>
      </c>
      <c r="B81">
        <v>0.99128263546798034</v>
      </c>
      <c r="D81">
        <f t="shared" si="13"/>
        <v>0.98264126338034485</v>
      </c>
      <c r="T81" s="12"/>
      <c r="U81" s="8"/>
      <c r="V81" s="8"/>
      <c r="W81" s="13"/>
    </row>
    <row r="82" spans="1:23">
      <c r="A82">
        <v>1.2413793103448274</v>
      </c>
      <c r="B82">
        <v>0.99195320197044345</v>
      </c>
      <c r="D82">
        <f t="shared" si="13"/>
        <v>0.98397115489941533</v>
      </c>
      <c r="T82" s="12" t="s">
        <v>274</v>
      </c>
      <c r="U82" s="8"/>
      <c r="V82" s="40">
        <f>V79/V78</f>
        <v>0.98235728756189178</v>
      </c>
      <c r="W82" s="32">
        <f>W79/W78</f>
        <v>0.97365300134492394</v>
      </c>
    </row>
    <row r="83" spans="1:23" ht="13" thickBot="1">
      <c r="A83">
        <v>1.279310344827586</v>
      </c>
      <c r="B83">
        <v>0.99061206896551723</v>
      </c>
      <c r="D83">
        <f t="shared" si="13"/>
        <v>0.98131227118014264</v>
      </c>
      <c r="T83" s="14" t="s">
        <v>273</v>
      </c>
      <c r="U83" s="15"/>
      <c r="V83" s="16">
        <f>V80/V78</f>
        <v>0.95999181551356438</v>
      </c>
      <c r="W83" s="41">
        <f>W80/W78</f>
        <v>0.94059203256503365</v>
      </c>
    </row>
    <row r="84" spans="1:23">
      <c r="A84">
        <v>1.3172413793103446</v>
      </c>
      <c r="B84">
        <v>0.98927093596059112</v>
      </c>
      <c r="D84">
        <f t="shared" si="13"/>
        <v>0.97865698473634399</v>
      </c>
    </row>
    <row r="85" spans="1:23">
      <c r="A85">
        <v>1.3551724137931032</v>
      </c>
      <c r="B85">
        <v>0.98792980295566502</v>
      </c>
      <c r="D85">
        <f t="shared" si="13"/>
        <v>0.97600529556801907</v>
      </c>
      <c r="T85" t="s">
        <v>352</v>
      </c>
    </row>
    <row r="86" spans="1:23">
      <c r="A86">
        <v>1.3931034482758617</v>
      </c>
      <c r="B86">
        <v>0.98658866995073902</v>
      </c>
      <c r="D86">
        <f t="shared" si="13"/>
        <v>0.9733572036751682</v>
      </c>
    </row>
    <row r="87" spans="1:23">
      <c r="A87">
        <v>1.4310344827586203</v>
      </c>
      <c r="B87">
        <v>0.9852475369458128</v>
      </c>
      <c r="D87">
        <f t="shared" si="13"/>
        <v>0.97071270905779072</v>
      </c>
    </row>
    <row r="88" spans="1:23">
      <c r="A88">
        <v>1.4689655172413789</v>
      </c>
      <c r="B88">
        <v>0.98390640394088669</v>
      </c>
      <c r="D88">
        <f t="shared" si="13"/>
        <v>0.9680718117158873</v>
      </c>
    </row>
    <row r="89" spans="1:23">
      <c r="A89">
        <v>1.5068965517241375</v>
      </c>
      <c r="B89">
        <v>0.9852475369458128</v>
      </c>
      <c r="D89">
        <f t="shared" si="13"/>
        <v>0.97071270905779072</v>
      </c>
    </row>
    <row r="90" spans="1:23">
      <c r="A90">
        <v>1.5448275862068961</v>
      </c>
      <c r="B90">
        <v>0.98658866995073902</v>
      </c>
      <c r="D90">
        <f t="shared" si="13"/>
        <v>0.9733572036751682</v>
      </c>
    </row>
    <row r="91" spans="1:23">
      <c r="A91">
        <v>1.5827586206896547</v>
      </c>
      <c r="B91">
        <v>0.98792980295566502</v>
      </c>
      <c r="D91">
        <f t="shared" si="13"/>
        <v>0.97600529556801907</v>
      </c>
    </row>
    <row r="92" spans="1:23">
      <c r="A92">
        <v>1.6206896551724133</v>
      </c>
      <c r="B92">
        <v>0.98927093596059112</v>
      </c>
      <c r="D92">
        <f t="shared" si="13"/>
        <v>0.97865698473634399</v>
      </c>
    </row>
    <row r="93" spans="1:23">
      <c r="A93">
        <v>1.6586206896551718</v>
      </c>
      <c r="B93">
        <v>0.99061206896551723</v>
      </c>
      <c r="D93">
        <f t="shared" si="13"/>
        <v>0.98131227118014264</v>
      </c>
    </row>
    <row r="94" spans="1:23">
      <c r="A94">
        <v>1.6965517241379304</v>
      </c>
      <c r="B94">
        <v>0.99195320197044345</v>
      </c>
      <c r="D94">
        <f t="shared" si="13"/>
        <v>0.98397115489941533</v>
      </c>
    </row>
    <row r="95" spans="1:23">
      <c r="A95">
        <v>1.734482758620689</v>
      </c>
      <c r="B95">
        <v>0.99128263546798034</v>
      </c>
      <c r="D95">
        <f t="shared" si="13"/>
        <v>0.98264126338034485</v>
      </c>
    </row>
    <row r="96" spans="1:23">
      <c r="A96">
        <v>1.7724137931034476</v>
      </c>
      <c r="B96">
        <v>0.99061206896551723</v>
      </c>
      <c r="D96">
        <f t="shared" si="13"/>
        <v>0.98131227118014264</v>
      </c>
    </row>
    <row r="97" spans="1:4">
      <c r="A97">
        <v>1.8103448275862062</v>
      </c>
      <c r="B97">
        <v>0.98994150246305423</v>
      </c>
      <c r="D97">
        <f t="shared" si="13"/>
        <v>0.97998417829880924</v>
      </c>
    </row>
    <row r="98" spans="1:4">
      <c r="A98">
        <v>1.8482758620689648</v>
      </c>
      <c r="B98">
        <v>0.98927093596059112</v>
      </c>
      <c r="D98">
        <f t="shared" si="13"/>
        <v>0.97865698473634399</v>
      </c>
    </row>
    <row r="99" spans="1:4">
      <c r="A99">
        <v>1.8862068965517234</v>
      </c>
      <c r="B99">
        <v>0.9852475369458128</v>
      </c>
      <c r="D99">
        <f t="shared" si="13"/>
        <v>0.97071270905779072</v>
      </c>
    </row>
    <row r="100" spans="1:4">
      <c r="A100">
        <v>1.9241379310344819</v>
      </c>
      <c r="B100">
        <v>0.98122413793103458</v>
      </c>
      <c r="D100">
        <f t="shared" si="13"/>
        <v>0.96280080885850194</v>
      </c>
    </row>
    <row r="101" spans="1:4">
      <c r="A101">
        <v>1.9620689655172405</v>
      </c>
      <c r="B101">
        <v>0.97720073891625625</v>
      </c>
      <c r="D101">
        <f t="shared" si="13"/>
        <v>0.95492128413847721</v>
      </c>
    </row>
    <row r="102" spans="1:4">
      <c r="A102">
        <v>2</v>
      </c>
      <c r="B102">
        <v>0.97720073891625625</v>
      </c>
      <c r="D102">
        <f t="shared" si="13"/>
        <v>0.95492128413847721</v>
      </c>
    </row>
    <row r="118" spans="2:2">
      <c r="B118" t="s">
        <v>368</v>
      </c>
    </row>
  </sheetData>
  <sheetCalcPr fullCalcOnLoad="1"/>
  <phoneticPr fontId="4" type="noConversion"/>
  <pageMargins left="0.42" right="0.2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2" enableFormatConditionsCalculation="0">
    <pageSetUpPr fitToPage="1"/>
  </sheetPr>
  <dimension ref="A1:O61"/>
  <sheetViews>
    <sheetView zoomScale="75" zoomScaleNormal="75" zoomScalePageLayoutView="75" workbookViewId="0">
      <selection activeCell="D54" sqref="D54"/>
    </sheetView>
  </sheetViews>
  <sheetFormatPr baseColWidth="10" defaultColWidth="8.83203125" defaultRowHeight="12"/>
  <cols>
    <col min="1" max="1" width="11.33203125" customWidth="1"/>
    <col min="2" max="2" width="12.6640625" customWidth="1"/>
    <col min="3" max="3" width="12" customWidth="1"/>
    <col min="4" max="4" width="16" customWidth="1"/>
    <col min="5" max="5" width="10.6640625" customWidth="1"/>
    <col min="6" max="6" width="9.6640625" customWidth="1"/>
    <col min="7" max="7" width="9.83203125" customWidth="1"/>
    <col min="8" max="8" width="11.6640625" customWidth="1"/>
    <col min="9" max="9" width="12.5" customWidth="1"/>
    <col min="10" max="10" width="10.1640625" customWidth="1"/>
    <col min="11" max="11" width="9.6640625" customWidth="1"/>
    <col min="12" max="12" width="12" bestFit="1" customWidth="1"/>
    <col min="13" max="13" width="12.1640625" customWidth="1"/>
    <col min="14" max="14" width="10.33203125" customWidth="1"/>
  </cols>
  <sheetData>
    <row r="1" spans="1:15" ht="15.75" customHeight="1" thickBot="1">
      <c r="A1" s="30" t="s">
        <v>309</v>
      </c>
      <c r="G1" t="s">
        <v>238</v>
      </c>
      <c r="I1" s="211" t="s">
        <v>113</v>
      </c>
      <c r="J1" s="212"/>
    </row>
    <row r="2" spans="1:15" ht="13" customHeight="1" thickBot="1">
      <c r="A2" s="91" t="s">
        <v>334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15" ht="13">
      <c r="A3" s="91"/>
      <c r="B3" s="92" t="s">
        <v>310</v>
      </c>
      <c r="C3" s="173"/>
      <c r="D3" s="92" t="s">
        <v>333</v>
      </c>
      <c r="E3" s="93">
        <v>0.76</v>
      </c>
      <c r="F3" s="128"/>
      <c r="G3" s="94"/>
      <c r="H3" s="213" t="s">
        <v>314</v>
      </c>
      <c r="I3" s="214"/>
      <c r="J3" s="214"/>
      <c r="K3" s="95" t="s">
        <v>323</v>
      </c>
      <c r="L3" s="93">
        <v>2.36</v>
      </c>
      <c r="M3" s="91" t="s">
        <v>237</v>
      </c>
      <c r="N3" s="91"/>
      <c r="O3" s="91"/>
    </row>
    <row r="4" spans="1:15" ht="13">
      <c r="A4" s="91"/>
      <c r="B4" s="92" t="s">
        <v>311</v>
      </c>
      <c r="C4" s="173"/>
      <c r="D4" s="155" t="s">
        <v>338</v>
      </c>
      <c r="E4" s="157">
        <v>2</v>
      </c>
      <c r="F4" s="128"/>
      <c r="G4" s="94"/>
      <c r="H4" s="213" t="s">
        <v>313</v>
      </c>
      <c r="I4" s="213"/>
      <c r="J4" s="213"/>
      <c r="K4" s="213"/>
      <c r="L4" s="204">
        <f>F5+F6</f>
        <v>5</v>
      </c>
      <c r="M4" s="91"/>
      <c r="N4" s="105" t="s">
        <v>321</v>
      </c>
      <c r="O4" s="97">
        <f>$L$3^2*PI()/4</f>
        <v>4.3743536108584271</v>
      </c>
    </row>
    <row r="5" spans="1:15" ht="58.25" customHeight="1">
      <c r="A5" s="215">
        <v>41777</v>
      </c>
      <c r="B5" s="216"/>
      <c r="C5" s="175"/>
      <c r="D5" s="156" t="s">
        <v>19</v>
      </c>
      <c r="E5" s="99" t="s">
        <v>306</v>
      </c>
      <c r="F5" s="129">
        <v>2</v>
      </c>
      <c r="G5" s="94"/>
      <c r="H5" s="213" t="s">
        <v>195</v>
      </c>
      <c r="I5" s="213"/>
      <c r="J5" s="213"/>
      <c r="K5" s="213"/>
      <c r="L5" s="96">
        <v>0</v>
      </c>
      <c r="M5" s="91" t="s">
        <v>236</v>
      </c>
      <c r="N5" s="91"/>
      <c r="O5" s="97">
        <f>$O$4*(1-$L$6^2-$L$7-$L$8)</f>
        <v>3.367814844999903</v>
      </c>
    </row>
    <row r="6" spans="1:15" ht="13">
      <c r="A6" s="91"/>
      <c r="B6" s="91"/>
      <c r="C6" s="91"/>
      <c r="D6" s="180" t="s">
        <v>20</v>
      </c>
      <c r="E6" s="100"/>
      <c r="F6" s="128">
        <v>3</v>
      </c>
      <c r="G6" s="94"/>
      <c r="H6" s="213" t="s">
        <v>315</v>
      </c>
      <c r="I6" s="213"/>
      <c r="J6" s="213"/>
      <c r="K6" s="213"/>
      <c r="L6" s="96">
        <v>0.31</v>
      </c>
      <c r="M6" s="91"/>
      <c r="N6" s="91"/>
      <c r="O6" s="97"/>
    </row>
    <row r="7" spans="1:15" ht="13">
      <c r="A7" s="154"/>
      <c r="B7" s="133"/>
      <c r="C7" s="133"/>
      <c r="D7" s="91" t="s">
        <v>333</v>
      </c>
      <c r="E7" s="126" t="s">
        <v>245</v>
      </c>
      <c r="F7" s="129"/>
      <c r="G7" s="91"/>
      <c r="H7" s="217" t="s">
        <v>235</v>
      </c>
      <c r="I7" s="217"/>
      <c r="J7" s="217"/>
      <c r="K7" s="217"/>
      <c r="L7" s="106">
        <v>5.3999999999999999E-2</v>
      </c>
      <c r="M7" s="91"/>
      <c r="N7" s="91"/>
      <c r="O7" s="91"/>
    </row>
    <row r="8" spans="1:15" ht="14" thickBot="1">
      <c r="A8" s="91" t="s">
        <v>248</v>
      </c>
      <c r="B8" s="91"/>
      <c r="C8" s="91"/>
      <c r="D8" s="91"/>
      <c r="E8" s="127" t="s">
        <v>245</v>
      </c>
      <c r="F8" s="128"/>
      <c r="G8" s="102"/>
      <c r="H8" s="217" t="s">
        <v>234</v>
      </c>
      <c r="I8" s="217"/>
      <c r="J8" s="217"/>
      <c r="K8" s="217"/>
      <c r="L8" s="106">
        <v>0.08</v>
      </c>
      <c r="M8" s="91"/>
      <c r="N8" s="91"/>
      <c r="O8" s="91"/>
    </row>
    <row r="9" spans="1:15" ht="14" thickBot="1">
      <c r="A9" s="217" t="s">
        <v>312</v>
      </c>
      <c r="B9" s="218"/>
      <c r="C9" s="174"/>
      <c r="D9" s="92" t="s">
        <v>333</v>
      </c>
      <c r="E9" s="103">
        <f>(E4-E3)/41</f>
        <v>3.0243902439024389E-2</v>
      </c>
      <c r="F9" s="103"/>
      <c r="G9" s="91"/>
      <c r="H9" s="217" t="s">
        <v>317</v>
      </c>
      <c r="I9" s="217"/>
      <c r="J9" s="217"/>
      <c r="K9" s="92"/>
      <c r="L9" s="101">
        <v>0.02</v>
      </c>
      <c r="M9" s="91"/>
      <c r="N9" s="91"/>
      <c r="O9" s="91"/>
    </row>
    <row r="10" spans="1:15" ht="14.25" customHeight="1">
      <c r="A10" s="217" t="s">
        <v>316</v>
      </c>
      <c r="B10" s="218"/>
      <c r="C10" s="174"/>
      <c r="D10" s="98"/>
      <c r="E10" s="102">
        <f>(E4-E3)/((E3+E4)/2)</f>
        <v>0.89855072463768126</v>
      </c>
      <c r="F10" s="102"/>
      <c r="G10" s="91"/>
      <c r="H10" s="91"/>
      <c r="I10" s="91" t="s">
        <v>190</v>
      </c>
      <c r="J10" s="91"/>
      <c r="K10" s="104" t="s">
        <v>186</v>
      </c>
      <c r="L10" s="96">
        <v>0</v>
      </c>
      <c r="M10" s="91"/>
      <c r="N10" s="91"/>
      <c r="O10" s="91"/>
    </row>
    <row r="11" spans="1:15" ht="14.25" customHeight="1" thickBot="1">
      <c r="A11" s="219" t="s">
        <v>247</v>
      </c>
      <c r="B11" s="220"/>
      <c r="C11" s="220"/>
      <c r="D11" s="220"/>
      <c r="E11" s="102">
        <v>0.95</v>
      </c>
      <c r="F11" s="102"/>
      <c r="G11" s="91"/>
      <c r="H11" s="91"/>
      <c r="I11" s="91"/>
      <c r="J11" s="91"/>
      <c r="K11" s="91"/>
      <c r="L11" s="91" t="s">
        <v>342</v>
      </c>
      <c r="M11" s="91"/>
      <c r="N11" s="91"/>
      <c r="O11" s="91"/>
    </row>
    <row r="12" spans="1:15" ht="64.5" customHeight="1">
      <c r="A12" s="84" t="s">
        <v>165</v>
      </c>
      <c r="B12" s="85" t="s">
        <v>0</v>
      </c>
      <c r="C12" s="85" t="s">
        <v>18</v>
      </c>
      <c r="D12" s="85" t="s">
        <v>367</v>
      </c>
      <c r="E12" s="85" t="s">
        <v>196</v>
      </c>
      <c r="F12" s="85" t="s">
        <v>189</v>
      </c>
      <c r="G12" s="85" t="s">
        <v>191</v>
      </c>
      <c r="H12" s="85" t="s">
        <v>324</v>
      </c>
      <c r="I12" s="86" t="s">
        <v>325</v>
      </c>
      <c r="J12" s="85" t="s">
        <v>183</v>
      </c>
      <c r="K12" s="85" t="s">
        <v>341</v>
      </c>
      <c r="L12" s="85" t="s">
        <v>320</v>
      </c>
      <c r="N12" s="5" t="s">
        <v>322</v>
      </c>
    </row>
    <row r="13" spans="1:15" ht="15.75" customHeight="1">
      <c r="A13" s="78">
        <f>E3</f>
        <v>0.76</v>
      </c>
      <c r="B13" s="83">
        <f>IF($A13&lt;&gt;"",IF($E$5="pAu",VLOOKUP(A13,pAg!$A$2:$C$47,3),VLOOKUP(A13,pAg!$O$3:$P1203,2)),"")</f>
        <v>0.98021674679545456</v>
      </c>
      <c r="C13" s="83">
        <f>VLOOKUP(A13,pAg!$A$7:$C$47,3)</f>
        <v>0.97499999999999998</v>
      </c>
      <c r="D13" s="87">
        <f>IF($A13&lt;&gt;"",1-VLOOKUP($N13,'AR sim'!$E$10:$F$38,2)*ImC!$E$10/'AR sim'!$D$42,"")</f>
        <v>0.9555217391304347</v>
      </c>
      <c r="E13" s="88">
        <v>0.95</v>
      </c>
      <c r="F13" s="87">
        <f>IF($L$10=1, IF($K$10="R",VLOOKUP($A13,dichroic!$F$5:$H$1232,3),VLOOKUP($A13,dichroic!$F$5:$H$1232,2)),1)</f>
        <v>1</v>
      </c>
      <c r="G13" s="83">
        <f>IF($A13&lt;&gt;"",$B13^$L$4*$D13^(2*($L$5))*$E13*$F13,"")</f>
        <v>0.85967479873774344</v>
      </c>
      <c r="H13" s="83">
        <f>IF($A13&lt;&gt;"",$B13^$F$5*$C13^$F$6,"")</f>
        <v>0.89054953913984902</v>
      </c>
      <c r="I13" s="83">
        <f t="shared" ref="I13:I54" si="0">IF($A13&lt;&gt;"",$D13^(2*($L$5))*$E13,"")</f>
        <v>0.95</v>
      </c>
      <c r="J13" s="89">
        <f t="shared" ref="J13:J54" si="1">IF($A13&lt;&gt;"",(1-$L$9),"")</f>
        <v>0.98</v>
      </c>
      <c r="K13" s="46">
        <f>VLOOKUP($A13,'SWIR data'!$A$5:$K$795,11)/100</f>
        <v>0.71371478480604722</v>
      </c>
      <c r="L13" s="90">
        <f t="shared" ref="L13:L21" si="2">IF($A13&lt;&gt;"",G13*$K13*$J13*$O$5,"")</f>
        <v>2.0250379741189737</v>
      </c>
      <c r="N13" s="6">
        <f t="shared" ref="N13:N54" si="3">($A13-$E$3)/($E$4-$E$3)</f>
        <v>0</v>
      </c>
    </row>
    <row r="14" spans="1:15" ht="15.75" customHeight="1">
      <c r="A14" s="79">
        <f t="shared" ref="A14:A54" si="4">IF(A13&lt;&gt;"",IF(A13+$E$9&gt;$E$4,"",A13+$E$9),"")</f>
        <v>0.79024390243902443</v>
      </c>
      <c r="B14" s="83">
        <f>IF($A14&lt;&gt;"",IF($E$5="pAu",VLOOKUP(A14,pAg!$A$2:$C$47,3),VLOOKUP(A14,pAg!$O$3:$P1204,2)),"")</f>
        <v>0.9795583788136365</v>
      </c>
      <c r="C14" s="83">
        <f>VLOOKUP(A14,pAg!$A$7:$C$47,3)</f>
        <v>0.97499999999999998</v>
      </c>
      <c r="D14" s="87">
        <f>IF($A14&lt;&gt;"",1-VLOOKUP($N14,'AR sim'!$E$10:$F$38,2)*ImC!$E$10/'AR sim'!$D$42,"")</f>
        <v>0.9555217391304347</v>
      </c>
      <c r="E14" s="88">
        <f>E13</f>
        <v>0.95</v>
      </c>
      <c r="F14" s="87">
        <f>IF($L$10=1, IF($K$10="R",VLOOKUP($A14,dichroic!$F$5:$H$1232,3),VLOOKUP($A14,dichroic!$F$5:$H$1232,2)),1)</f>
        <v>1</v>
      </c>
      <c r="G14" s="83">
        <f t="shared" ref="G14:G54" si="5">IF($A14&lt;&gt;"",$B14^$L$4*$D14^(2*($L$5))*$E14*$F14,"")</f>
        <v>0.85679164771912064</v>
      </c>
      <c r="H14" s="83">
        <f t="shared" ref="H14:H54" si="6">IF($A14&lt;&gt;"",$B14^$F$5*$C14^$F$6,"")</f>
        <v>0.88935365587062132</v>
      </c>
      <c r="I14" s="83">
        <f t="shared" si="0"/>
        <v>0.95</v>
      </c>
      <c r="J14" s="89">
        <f t="shared" si="1"/>
        <v>0.98</v>
      </c>
      <c r="K14" s="46">
        <f>VLOOKUP($A14,'SWIR data'!$A$5:$K$795,11)/100</f>
        <v>0.70050154405799647</v>
      </c>
      <c r="L14" s="90">
        <f t="shared" si="2"/>
        <v>1.9808819913128626</v>
      </c>
      <c r="N14" s="6">
        <f t="shared" si="3"/>
        <v>2.4390243902439046E-2</v>
      </c>
    </row>
    <row r="15" spans="1:15" ht="16.5" customHeight="1">
      <c r="A15" s="79">
        <f t="shared" si="4"/>
        <v>0.82048780487804884</v>
      </c>
      <c r="B15" s="83">
        <f>IF($A15&lt;&gt;"",IF($E$5="pAu",VLOOKUP(A15,pAg!$A$2:$C$47,3),VLOOKUP(A15,pAg!$O$3:$P1205,2)),"")</f>
        <v>0.97873756170454573</v>
      </c>
      <c r="C15" s="83">
        <f>VLOOKUP(A15,pAg!$A$7:$C$47,3)</f>
        <v>0.98</v>
      </c>
      <c r="D15" s="87">
        <f>IF($A15&lt;&gt;"",1-VLOOKUP($N15,'AR sim'!$E$10:$F$38,2)*ImC!$E$10/'AR sim'!$D$42,"")</f>
        <v>0.9650527950310559</v>
      </c>
      <c r="E15" s="88">
        <f t="shared" ref="E15:E54" si="7">E14</f>
        <v>0.95</v>
      </c>
      <c r="F15" s="87">
        <f>IF($L$10=1, IF($K$10="R",VLOOKUP($A15,dichroic!$F$5:$H$1232,3),VLOOKUP($A15,dichroic!$F$5:$H$1232,2)),1)</f>
        <v>1</v>
      </c>
      <c r="G15" s="83">
        <f t="shared" si="5"/>
        <v>0.85320793263724082</v>
      </c>
      <c r="H15" s="83">
        <f t="shared" si="6"/>
        <v>0.90159343104978995</v>
      </c>
      <c r="I15" s="83">
        <f t="shared" si="0"/>
        <v>0.95</v>
      </c>
      <c r="J15" s="89">
        <f t="shared" si="1"/>
        <v>0.98</v>
      </c>
      <c r="K15" s="46">
        <f>VLOOKUP($A15,'SWIR data'!$A$5:$K$795,11)/100</f>
        <v>0.7</v>
      </c>
      <c r="L15" s="90">
        <f t="shared" si="2"/>
        <v>1.9711841902054601</v>
      </c>
      <c r="N15" s="6">
        <f t="shared" si="3"/>
        <v>4.8780487804878092E-2</v>
      </c>
    </row>
    <row r="16" spans="1:15" ht="14.25" customHeight="1">
      <c r="A16" s="79">
        <f t="shared" si="4"/>
        <v>0.85073170731707326</v>
      </c>
      <c r="B16" s="83">
        <f>IF($A16&lt;&gt;"",IF($E$5="pAu",VLOOKUP(A16,pAg!$A$2:$C$47,3),VLOOKUP(A16,pAg!$O$3:$P1206,2)),"")</f>
        <v>0.97766086677727271</v>
      </c>
      <c r="C16" s="83">
        <f>VLOOKUP(A16,pAg!$A$7:$C$47,3)</f>
        <v>0.98499999999999999</v>
      </c>
      <c r="D16" s="87">
        <f>IF($A16&lt;&gt;"",1-VLOOKUP($N16,'AR sim'!$E$10:$F$38,2)*ImC!$E$10/'AR sim'!$D$42,"")</f>
        <v>0.97458385093167699</v>
      </c>
      <c r="E16" s="88">
        <f t="shared" si="7"/>
        <v>0.95</v>
      </c>
      <c r="F16" s="87">
        <f>IF($L$10=1, IF($K$10="R",VLOOKUP($A16,dichroic!$F$5:$H$1232,3),VLOOKUP($A16,dichroic!$F$5:$H$1232,2)),1)</f>
        <v>1</v>
      </c>
      <c r="G16" s="83">
        <f t="shared" si="5"/>
        <v>0.84852523864500529</v>
      </c>
      <c r="H16" s="83">
        <f t="shared" si="6"/>
        <v>0.91345078888338072</v>
      </c>
      <c r="I16" s="83">
        <f t="shared" si="0"/>
        <v>0.95</v>
      </c>
      <c r="J16" s="89">
        <f t="shared" si="1"/>
        <v>0.98</v>
      </c>
      <c r="K16" s="46">
        <f>VLOOKUP($A16,'SWIR data'!$A$5:$K$795,11)/100</f>
        <v>0.7</v>
      </c>
      <c r="L16" s="90">
        <f t="shared" si="2"/>
        <v>1.9603656640150933</v>
      </c>
      <c r="N16" s="6">
        <f t="shared" si="3"/>
        <v>7.3170731707317138E-2</v>
      </c>
    </row>
    <row r="17" spans="1:14" ht="15">
      <c r="A17" s="79">
        <f t="shared" si="4"/>
        <v>0.88097560975609768</v>
      </c>
      <c r="B17" s="83">
        <f>IF($A17&lt;&gt;"",IF($E$5="pAu",VLOOKUP(A17,pAg!$A$2:$C$47,3),VLOOKUP(A17,pAg!$O$3:$P1207,2)),"")</f>
        <v>0.97701898323181824</v>
      </c>
      <c r="C17" s="83">
        <f>VLOOKUP(A17,pAg!$A$7:$C$47,3)</f>
        <v>0.98499999999999999</v>
      </c>
      <c r="D17" s="87">
        <f>IF($A17&lt;&gt;"",1-VLOOKUP($N17,'AR sim'!$E$10:$F$38,2)*ImC!$E$10/'AR sim'!$D$42,"")</f>
        <v>0.97458385093167699</v>
      </c>
      <c r="E17" s="88">
        <f t="shared" si="7"/>
        <v>0.95</v>
      </c>
      <c r="F17" s="87">
        <f>IF($L$10=1, IF($K$10="R",VLOOKUP($A17,dichroic!$F$5:$H$1232,3),VLOOKUP($A17,dichroic!$F$5:$H$1232,2)),1)</f>
        <v>1</v>
      </c>
      <c r="G17" s="83">
        <f t="shared" si="5"/>
        <v>0.84574339633925821</v>
      </c>
      <c r="H17" s="83">
        <f t="shared" si="6"/>
        <v>0.91225172983615688</v>
      </c>
      <c r="I17" s="83">
        <f t="shared" si="0"/>
        <v>0.95</v>
      </c>
      <c r="J17" s="89">
        <f t="shared" si="1"/>
        <v>0.98</v>
      </c>
      <c r="K17" s="46">
        <f>VLOOKUP($A17,'SWIR data'!$A$5:$K$795,11)/100</f>
        <v>0.7</v>
      </c>
      <c r="L17" s="90">
        <f t="shared" si="2"/>
        <v>1.9539387153628653</v>
      </c>
      <c r="N17" s="6">
        <f t="shared" si="3"/>
        <v>9.7560975609756184E-2</v>
      </c>
    </row>
    <row r="18" spans="1:14" ht="15">
      <c r="A18" s="79">
        <f t="shared" si="4"/>
        <v>0.91121951219512209</v>
      </c>
      <c r="B18" s="83">
        <f>IF($A18&lt;&gt;"",IF($E$5="pAu",VLOOKUP(A18,pAg!$A$2:$C$47,3),VLOOKUP(A18,pAg!$O$3:$P1208,2)),"")</f>
        <v>0.9762264802045455</v>
      </c>
      <c r="C18" s="83">
        <f>VLOOKUP(A18,pAg!$A$7:$C$47,3)</f>
        <v>0.99</v>
      </c>
      <c r="D18" s="87">
        <f>IF($A18&lt;&gt;"",1-VLOOKUP($N18,'AR sim'!$E$10:$F$38,2)*ImC!$E$10/'AR sim'!$D$42,"")</f>
        <v>0.98093788819875771</v>
      </c>
      <c r="E18" s="88">
        <f t="shared" si="7"/>
        <v>0.95</v>
      </c>
      <c r="F18" s="87">
        <f>IF($L$10=1, IF($K$10="R",VLOOKUP($A18,dichroic!$F$5:$H$1232,3),VLOOKUP($A18,dichroic!$F$5:$H$1232,2)),1)</f>
        <v>1</v>
      </c>
      <c r="G18" s="83">
        <f t="shared" si="5"/>
        <v>0.84231885828141384</v>
      </c>
      <c r="H18" s="83">
        <f t="shared" si="6"/>
        <v>0.92471254885703424</v>
      </c>
      <c r="I18" s="83">
        <f t="shared" si="0"/>
        <v>0.95</v>
      </c>
      <c r="J18" s="89">
        <f t="shared" si="1"/>
        <v>0.98</v>
      </c>
      <c r="K18" s="46">
        <f>VLOOKUP($A18,'SWIR data'!$A$5:$K$795,11)/100</f>
        <v>0.7</v>
      </c>
      <c r="L18" s="90">
        <f t="shared" si="2"/>
        <v>1.946026933228451</v>
      </c>
      <c r="N18" s="6">
        <f t="shared" si="3"/>
        <v>0.12195121951219523</v>
      </c>
    </row>
    <row r="19" spans="1:14" ht="15">
      <c r="A19" s="79">
        <f t="shared" si="4"/>
        <v>0.94146341463414651</v>
      </c>
      <c r="B19" s="83">
        <f>IF($A19&lt;&gt;"",IF($E$5="pAu",VLOOKUP(A19,pAg!$A$2:$C$47,3),VLOOKUP(A19,pAg!$O$3:$P1209,2)),"")</f>
        <v>0.97559227172727281</v>
      </c>
      <c r="C19" s="83">
        <f>VLOOKUP(A19,pAg!$A$7:$C$47,3)</f>
        <v>0.99</v>
      </c>
      <c r="D19" s="87">
        <f>IF($A19&lt;&gt;"",1-VLOOKUP($N19,'AR sim'!$E$10:$F$38,2)*ImC!$E$10/'AR sim'!$D$42,"")</f>
        <v>0.98729192546583855</v>
      </c>
      <c r="E19" s="88">
        <f t="shared" si="7"/>
        <v>0.95</v>
      </c>
      <c r="F19" s="87">
        <f>IF($L$10=1, IF($K$10="R",VLOOKUP($A19,dichroic!$F$5:$H$1232,3),VLOOKUP($A19,dichroic!$F$5:$H$1232,2)),1)</f>
        <v>1</v>
      </c>
      <c r="G19" s="83">
        <f t="shared" si="5"/>
        <v>0.83958633603726474</v>
      </c>
      <c r="H19" s="83">
        <f t="shared" si="6"/>
        <v>0.92351145453827699</v>
      </c>
      <c r="I19" s="83">
        <f t="shared" si="0"/>
        <v>0.95</v>
      </c>
      <c r="J19" s="89">
        <f t="shared" si="1"/>
        <v>0.98</v>
      </c>
      <c r="K19" s="46">
        <f>VLOOKUP($A19,'SWIR data'!$A$5:$K$795,11)/100</f>
        <v>0.7</v>
      </c>
      <c r="L19" s="90">
        <f t="shared" si="2"/>
        <v>1.9397139297494486</v>
      </c>
      <c r="N19" s="6">
        <f t="shared" si="3"/>
        <v>0.14634146341463428</v>
      </c>
    </row>
    <row r="20" spans="1:14" ht="15">
      <c r="A20" s="79">
        <f t="shared" si="4"/>
        <v>0.97170731707317093</v>
      </c>
      <c r="B20" s="83">
        <f>IF($A20&lt;&gt;"",IF($E$5="pAu",VLOOKUP(A20,pAg!$A$2:$C$47,3),VLOOKUP(A20,pAg!$O$3:$P1210,2)),"")</f>
        <v>0.97516495812272741</v>
      </c>
      <c r="C20" s="83">
        <f>VLOOKUP(A20,pAg!$A$7:$C$47,3)</f>
        <v>0.99</v>
      </c>
      <c r="D20" s="87">
        <f>IF($A20&lt;&gt;"",1-VLOOKUP($N20,'AR sim'!$E$10:$F$38,2)*ImC!$E$10/'AR sim'!$D$42,"")</f>
        <v>0.98729192546583855</v>
      </c>
      <c r="E20" s="88">
        <f t="shared" si="7"/>
        <v>0.95</v>
      </c>
      <c r="F20" s="87">
        <f>IF($L$10=1, IF($K$10="R",VLOOKUP($A20,dichroic!$F$5:$H$1232,3),VLOOKUP($A20,dichroic!$F$5:$H$1232,2)),1)</f>
        <v>1</v>
      </c>
      <c r="G20" s="83">
        <f t="shared" si="5"/>
        <v>0.83774923395622369</v>
      </c>
      <c r="H20" s="83">
        <f t="shared" si="6"/>
        <v>0.92270262774595524</v>
      </c>
      <c r="I20" s="83">
        <f t="shared" si="0"/>
        <v>0.95</v>
      </c>
      <c r="J20" s="89">
        <f t="shared" si="1"/>
        <v>0.98</v>
      </c>
      <c r="K20" s="46">
        <f>VLOOKUP($A20,'SWIR data'!$A$5:$K$795,11)/100</f>
        <v>0.7</v>
      </c>
      <c r="L20" s="90">
        <f t="shared" si="2"/>
        <v>1.9354696342624758</v>
      </c>
      <c r="N20" s="6">
        <f t="shared" si="3"/>
        <v>0.17073170731707332</v>
      </c>
    </row>
    <row r="21" spans="1:14" ht="15">
      <c r="A21" s="79">
        <f t="shared" si="4"/>
        <v>1.0019512195121953</v>
      </c>
      <c r="B21" s="83">
        <f>IF($A21&lt;&gt;"",IF($E$5="pAu",VLOOKUP(A21,pAg!$A$2:$C$47,3),VLOOKUP(A21,pAg!$O$3:$P1211,2)),"")</f>
        <v>0.97483175433181801</v>
      </c>
      <c r="C21" s="83">
        <f>VLOOKUP(A21,pAg!$A$7:$C$47,3)</f>
        <v>0.99</v>
      </c>
      <c r="D21" s="87">
        <f>IF($A21&lt;&gt;"",1-VLOOKUP($N21,'AR sim'!$E$10:$F$38,2)*ImC!$E$10/'AR sim'!$D$42,"")</f>
        <v>0.98808618012422367</v>
      </c>
      <c r="E21" s="88">
        <f t="shared" si="7"/>
        <v>0.95</v>
      </c>
      <c r="F21" s="87">
        <f>IF($L$10=1, IF($K$10="R",VLOOKUP($A21,dichroic!$F$5:$H$1232,3),VLOOKUP($A21,dichroic!$F$5:$H$1232,2)),1)</f>
        <v>1</v>
      </c>
      <c r="G21" s="83">
        <f t="shared" si="5"/>
        <v>0.83631896042101594</v>
      </c>
      <c r="H21" s="83">
        <f t="shared" si="6"/>
        <v>0.92207217956386722</v>
      </c>
      <c r="I21" s="83">
        <f t="shared" si="0"/>
        <v>0.95</v>
      </c>
      <c r="J21" s="89">
        <f t="shared" si="1"/>
        <v>0.98</v>
      </c>
      <c r="K21" s="46">
        <f>VLOOKUP($A21,'SWIR data'!$A$5:$K$795,11)/100</f>
        <v>0.7</v>
      </c>
      <c r="L21" s="90">
        <f t="shared" si="2"/>
        <v>1.9321652433016976</v>
      </c>
      <c r="N21" s="6">
        <f t="shared" si="3"/>
        <v>0.19512195121951237</v>
      </c>
    </row>
    <row r="22" spans="1:14" ht="15">
      <c r="A22" s="79">
        <f t="shared" si="4"/>
        <v>1.0321951219512198</v>
      </c>
      <c r="B22" s="83">
        <f>IF($A22&lt;&gt;"",IF($E$5="pAu",VLOOKUP(A22,pAg!$A$2:$C$47,3),VLOOKUP(A22,pAg!$O$3:$P1212,2)),"")</f>
        <v>0.97475727134545453</v>
      </c>
      <c r="C22" s="83">
        <f>VLOOKUP(A22,pAg!$A$7:$C$47,3)</f>
        <v>0.99</v>
      </c>
      <c r="D22" s="87">
        <f>IF($A22&lt;&gt;"",1-VLOOKUP($N22,'AR sim'!$E$10:$F$38,2)*ImC!$E$10/'AR sim'!$D$42,"")</f>
        <v>0.98888043478260879</v>
      </c>
      <c r="E22" s="88">
        <f t="shared" si="7"/>
        <v>0.95</v>
      </c>
      <c r="F22" s="87">
        <f>IF($L$10=1, IF($K$10="R",VLOOKUP($A22,dichroic!$F$5:$H$1232,3),VLOOKUP($A22,dichroic!$F$5:$H$1232,2)),1)</f>
        <v>1</v>
      </c>
      <c r="G22" s="83">
        <f t="shared" si="5"/>
        <v>0.83599951034523456</v>
      </c>
      <c r="H22" s="83">
        <f t="shared" si="6"/>
        <v>0.92193128126928514</v>
      </c>
      <c r="I22" s="83">
        <f t="shared" si="0"/>
        <v>0.95</v>
      </c>
      <c r="J22" s="89">
        <f t="shared" si="1"/>
        <v>0.98</v>
      </c>
      <c r="K22" s="46">
        <f>VLOOKUP($A22,'SWIR data'!$A$5:$K$795,11)/100</f>
        <v>0.70971081970468008</v>
      </c>
      <c r="L22" s="90">
        <f t="shared" ref="L22:L44" si="8">IF($A22&lt;&gt;"",G22*$K22*$J22*$O$5,"")</f>
        <v>1.9582211274020884</v>
      </c>
      <c r="N22" s="6">
        <f t="shared" si="3"/>
        <v>0.21951219512195141</v>
      </c>
    </row>
    <row r="23" spans="1:14" ht="15">
      <c r="A23" s="79">
        <f t="shared" si="4"/>
        <v>1.0624390243902442</v>
      </c>
      <c r="B23" s="83">
        <f>IF($A23&lt;&gt;"",IF($E$5="pAu",VLOOKUP(A23,pAg!$A$2:$C$47,3),VLOOKUP(A23,pAg!$O$3:$P1213,2)),"")</f>
        <v>0.97467746963181823</v>
      </c>
      <c r="C23" s="83">
        <f>VLOOKUP(A23,pAg!$A$7:$C$47,3)</f>
        <v>0.99</v>
      </c>
      <c r="D23" s="87">
        <f>IF($A23&lt;&gt;"",1-VLOOKUP($N23,'AR sim'!$E$10:$F$38,2)*ImC!$E$10/'AR sim'!$D$42,"")</f>
        <v>0.98888043478260879</v>
      </c>
      <c r="E23" s="88">
        <f t="shared" si="7"/>
        <v>0.95</v>
      </c>
      <c r="F23" s="87">
        <f>IF($L$10=1, IF($K$10="R",VLOOKUP($A23,dichroic!$F$5:$H$1232,3),VLOOKUP($A23,dichroic!$F$5:$H$1232,2)),1)</f>
        <v>1</v>
      </c>
      <c r="G23" s="83">
        <f t="shared" si="5"/>
        <v>0.83565735710962652</v>
      </c>
      <c r="H23" s="83">
        <f t="shared" si="6"/>
        <v>0.92178033356841993</v>
      </c>
      <c r="I23" s="83">
        <f t="shared" si="0"/>
        <v>0.95</v>
      </c>
      <c r="J23" s="89">
        <f t="shared" si="1"/>
        <v>0.98</v>
      </c>
      <c r="K23" s="46">
        <f>VLOOKUP($A23,'SWIR data'!$A$5:$K$795,11)/100</f>
        <v>0.71959267731399179</v>
      </c>
      <c r="L23" s="90">
        <f t="shared" si="8"/>
        <v>1.9846743593003939</v>
      </c>
      <c r="N23" s="6">
        <f t="shared" si="3"/>
        <v>0.24390243902439046</v>
      </c>
    </row>
    <row r="24" spans="1:14" ht="15">
      <c r="A24" s="79">
        <f t="shared" si="4"/>
        <v>1.0926829268292686</v>
      </c>
      <c r="B24" s="83">
        <f>IF($A24&lt;&gt;"",IF($E$5="pAu",VLOOKUP(A24,pAg!$A$2:$C$47,3),VLOOKUP(A24,pAg!$O$3:$P1214,2)),"")</f>
        <v>0.97480869294545458</v>
      </c>
      <c r="C24" s="83">
        <f>VLOOKUP(A24,pAg!$A$7:$C$47,3)</f>
        <v>0.99</v>
      </c>
      <c r="D24" s="87">
        <f>IF($A24&lt;&gt;"",1-VLOOKUP($N24,'AR sim'!$E$10:$F$38,2)*ImC!$E$10/'AR sim'!$D$42,"")</f>
        <v>0.9896746894409939</v>
      </c>
      <c r="E24" s="88">
        <f t="shared" si="7"/>
        <v>0.95</v>
      </c>
      <c r="F24" s="87">
        <f>IF($L$10=1, IF($K$10="R",VLOOKUP($A24,dichroic!$F$5:$H$1232,3),VLOOKUP($A24,dichroic!$F$5:$H$1232,2)),1)</f>
        <v>1</v>
      </c>
      <c r="G24" s="83">
        <f t="shared" si="5"/>
        <v>0.83622004200722944</v>
      </c>
      <c r="H24" s="83">
        <f t="shared" si="6"/>
        <v>0.92202855355112945</v>
      </c>
      <c r="I24" s="83">
        <f t="shared" si="0"/>
        <v>0.95</v>
      </c>
      <c r="J24" s="89">
        <f t="shared" si="1"/>
        <v>0.98</v>
      </c>
      <c r="K24" s="46">
        <f>VLOOKUP($A24,'SWIR data'!$A$5:$K$795,11)/100</f>
        <v>0.73141106552913027</v>
      </c>
      <c r="L24" s="90">
        <f t="shared" si="8"/>
        <v>2.0186284108666595</v>
      </c>
      <c r="N24" s="6">
        <f t="shared" si="3"/>
        <v>0.26829268292682951</v>
      </c>
    </row>
    <row r="25" spans="1:14" ht="15">
      <c r="A25" s="79">
        <f t="shared" si="4"/>
        <v>1.122926829268293</v>
      </c>
      <c r="B25" s="83">
        <f>IF($A25&lt;&gt;"",IF($E$5="pAu",VLOOKUP(A25,pAg!$A$2:$C$47,3),VLOOKUP(A25,pAg!$O$3:$P1215,2)),"")</f>
        <v>0.97497897634090891</v>
      </c>
      <c r="C25" s="83">
        <f>VLOOKUP(A25,pAg!$A$7:$C$47,3)</f>
        <v>0.99</v>
      </c>
      <c r="D25" s="87">
        <f>IF($A25&lt;&gt;"",1-VLOOKUP($N25,'AR sim'!$E$10:$F$38,2)*ImC!$E$10/'AR sim'!$D$42,"")</f>
        <v>0.99046894409937902</v>
      </c>
      <c r="E25" s="88">
        <f t="shared" si="7"/>
        <v>0.95</v>
      </c>
      <c r="F25" s="87">
        <f>IF($L$10=1, IF($K$10="R",VLOOKUP($A25,dichroic!$F$5:$H$1232,3),VLOOKUP($A25,dichroic!$F$5:$H$1232,2)),1)</f>
        <v>1</v>
      </c>
      <c r="G25" s="83">
        <f t="shared" si="5"/>
        <v>0.83695066815900221</v>
      </c>
      <c r="H25" s="83">
        <f t="shared" si="6"/>
        <v>0.92235070879485126</v>
      </c>
      <c r="I25" s="83">
        <f t="shared" si="0"/>
        <v>0.95</v>
      </c>
      <c r="J25" s="89">
        <f t="shared" si="1"/>
        <v>0.98</v>
      </c>
      <c r="K25" s="46">
        <f>VLOOKUP($A25,'SWIR data'!$A$5:$K$795,11)/100</f>
        <v>0.74257292798461905</v>
      </c>
      <c r="L25" s="90">
        <f t="shared" si="8"/>
        <v>2.0512247833969619</v>
      </c>
      <c r="N25" s="6">
        <f t="shared" si="3"/>
        <v>0.29268292682926855</v>
      </c>
    </row>
    <row r="26" spans="1:14" ht="15">
      <c r="A26" s="79">
        <f t="shared" si="4"/>
        <v>1.1531707317073174</v>
      </c>
      <c r="B26" s="83">
        <f>IF($A26&lt;&gt;"",IF($E$5="pAu",VLOOKUP(A26,pAg!$A$2:$C$47,3),VLOOKUP(A26,pAg!$O$3:$P1216,2)),"")</f>
        <v>0.97526258842727287</v>
      </c>
      <c r="C26" s="83">
        <f>VLOOKUP(A26,pAg!$A$7:$C$47,3)</f>
        <v>0.99</v>
      </c>
      <c r="D26" s="87">
        <f>IF($A26&lt;&gt;"",1-VLOOKUP($N26,'AR sim'!$E$10:$F$38,2)*ImC!$E$10/'AR sim'!$D$42,"")</f>
        <v>0.99046894409937902</v>
      </c>
      <c r="E26" s="88">
        <f t="shared" si="7"/>
        <v>0.95</v>
      </c>
      <c r="F26" s="87">
        <f>IF($L$10=1, IF($K$10="R",VLOOKUP($A26,dichroic!$F$5:$H$1232,3),VLOOKUP($A26,dichroic!$F$5:$H$1232,2)),1)</f>
        <v>1</v>
      </c>
      <c r="G26" s="83">
        <f t="shared" si="5"/>
        <v>0.83816868140886025</v>
      </c>
      <c r="H26" s="83">
        <f t="shared" si="6"/>
        <v>0.92288739289208754</v>
      </c>
      <c r="I26" s="83">
        <f t="shared" si="0"/>
        <v>0.95</v>
      </c>
      <c r="J26" s="89">
        <f t="shared" si="1"/>
        <v>0.98</v>
      </c>
      <c r="K26" s="46">
        <f>VLOOKUP($A26,'SWIR data'!$A$5:$K$795,11)/100</f>
        <v>0.75528211048911198</v>
      </c>
      <c r="L26" s="90">
        <f t="shared" si="8"/>
        <v>2.0893678607351949</v>
      </c>
      <c r="N26" s="6">
        <f t="shared" si="3"/>
        <v>0.3170731707317076</v>
      </c>
    </row>
    <row r="27" spans="1:14" ht="15">
      <c r="A27" s="79">
        <f t="shared" si="4"/>
        <v>1.1834146341463418</v>
      </c>
      <c r="B27" s="83">
        <f>IF($A27&lt;&gt;"",IF($E$5="pAu",VLOOKUP(A27,pAg!$A$2:$C$47,3),VLOOKUP(A27,pAg!$O$3:$P1217,2)),"")</f>
        <v>0.97559377508181822</v>
      </c>
      <c r="C27" s="83">
        <f>VLOOKUP(A27,pAg!$A$7:$C$47,3)</f>
        <v>0.99</v>
      </c>
      <c r="D27" s="87">
        <f>IF($A27&lt;&gt;"",1-VLOOKUP($N27,'AR sim'!$E$10:$F$38,2)*ImC!$E$10/'AR sim'!$D$42,"")</f>
        <v>0.98888043478260879</v>
      </c>
      <c r="E27" s="88">
        <f t="shared" si="7"/>
        <v>0.95</v>
      </c>
      <c r="F27" s="87">
        <f>IF($L$10=1, IF($K$10="R",VLOOKUP($A27,dichroic!$F$5:$H$1232,3),VLOOKUP($A27,dichroic!$F$5:$H$1232,2)),1)</f>
        <v>1</v>
      </c>
      <c r="G27" s="83">
        <f t="shared" si="5"/>
        <v>0.83959280492729749</v>
      </c>
      <c r="H27" s="83">
        <f t="shared" si="6"/>
        <v>0.92351430074002094</v>
      </c>
      <c r="I27" s="83">
        <f t="shared" si="0"/>
        <v>0.95</v>
      </c>
      <c r="J27" s="89">
        <f t="shared" si="1"/>
        <v>0.98</v>
      </c>
      <c r="K27" s="46">
        <f>VLOOKUP($A27,'SWIR data'!$A$5:$K$795,11)/100</f>
        <v>0.76681820590346295</v>
      </c>
      <c r="L27" s="90">
        <f t="shared" si="8"/>
        <v>2.1248848797676789</v>
      </c>
      <c r="N27" s="6">
        <f t="shared" si="3"/>
        <v>0.34146341463414664</v>
      </c>
    </row>
    <row r="28" spans="1:14" ht="15">
      <c r="A28" s="79">
        <f t="shared" si="4"/>
        <v>1.2136585365853663</v>
      </c>
      <c r="B28" s="83">
        <f>IF($A28&lt;&gt;"",IF($E$5="pAu",VLOOKUP(A28,pAg!$A$2:$C$47,3),VLOOKUP(A28,pAg!$O$3:$P1218,2)),"")</f>
        <v>0.97593224061363637</v>
      </c>
      <c r="C28" s="83">
        <f>VLOOKUP(A28,pAg!$A$7:$C$47,3)</f>
        <v>0.99</v>
      </c>
      <c r="D28" s="87">
        <f>IF($A28&lt;&gt;"",1-VLOOKUP($N28,'AR sim'!$E$10:$F$38,2)*ImC!$E$10/'AR sim'!$D$42,"")</f>
        <v>0.98729192546583855</v>
      </c>
      <c r="E28" s="88">
        <f t="shared" si="7"/>
        <v>0.95</v>
      </c>
      <c r="F28" s="87">
        <f>IF($L$10=1, IF($K$10="R",VLOOKUP($A28,dichroic!$F$5:$H$1232,3),VLOOKUP($A28,dichroic!$F$5:$H$1232,2)),1)</f>
        <v>1</v>
      </c>
      <c r="G28" s="83">
        <f t="shared" si="5"/>
        <v>0.84105022746815761</v>
      </c>
      <c r="H28" s="83">
        <f t="shared" si="6"/>
        <v>0.92415520679882046</v>
      </c>
      <c r="I28" s="83">
        <f t="shared" si="0"/>
        <v>0.95</v>
      </c>
      <c r="J28" s="89">
        <f t="shared" si="1"/>
        <v>0.98</v>
      </c>
      <c r="K28" s="46">
        <f>VLOOKUP($A28,'SWIR data'!$A$5:$K$795,11)/100</f>
        <v>0.77955115336793812</v>
      </c>
      <c r="L28" s="90">
        <f t="shared" si="8"/>
        <v>2.1639181702926842</v>
      </c>
      <c r="N28" s="6">
        <f t="shared" si="3"/>
        <v>0.36585365853658569</v>
      </c>
    </row>
    <row r="29" spans="1:14" ht="15">
      <c r="A29" s="79">
        <f t="shared" si="4"/>
        <v>1.2439024390243907</v>
      </c>
      <c r="B29" s="83">
        <f>IF($A29&lt;&gt;"",IF($E$5="pAu",VLOOKUP(A29,pAg!$A$2:$C$47,3),VLOOKUP(A29,pAg!$O$3:$P1219,2)),"")</f>
        <v>0.97633084484999999</v>
      </c>
      <c r="C29" s="83">
        <f>VLOOKUP(A29,pAg!$A$7:$C$47,3)</f>
        <v>0.99</v>
      </c>
      <c r="D29" s="87">
        <f>IF($A29&lt;&gt;"",1-VLOOKUP($N29,'AR sim'!$E$10:$F$38,2)*ImC!$E$10/'AR sim'!$D$42,"")</f>
        <v>0.98729192546583855</v>
      </c>
      <c r="E29" s="88">
        <f t="shared" si="7"/>
        <v>0.95</v>
      </c>
      <c r="F29" s="87">
        <f>IF($L$10=1, IF($K$10="R",VLOOKUP($A29,dichroic!$F$5:$H$1232,3),VLOOKUP($A29,dichroic!$F$5:$H$1232,2)),1)</f>
        <v>1</v>
      </c>
      <c r="G29" s="83">
        <f t="shared" si="5"/>
        <v>0.8427692000242365</v>
      </c>
      <c r="H29" s="83">
        <f t="shared" si="6"/>
        <v>0.92491027440101226</v>
      </c>
      <c r="I29" s="83">
        <f t="shared" si="0"/>
        <v>0.95</v>
      </c>
      <c r="J29" s="89">
        <f t="shared" si="1"/>
        <v>0.98</v>
      </c>
      <c r="K29" s="46">
        <f>VLOOKUP($A29,'SWIR data'!$A$5:$K$795,11)/100</f>
        <v>0.79203231444010735</v>
      </c>
      <c r="L29" s="90">
        <f t="shared" si="8"/>
        <v>2.2030575331707749</v>
      </c>
      <c r="N29" s="6">
        <f t="shared" si="3"/>
        <v>0.39024390243902474</v>
      </c>
    </row>
    <row r="30" spans="1:14" ht="15">
      <c r="A30" s="79">
        <f t="shared" si="4"/>
        <v>1.2741463414634151</v>
      </c>
      <c r="B30" s="83">
        <f>IF($A30&lt;&gt;"",IF($E$5="pAu",VLOOKUP(A30,pAg!$A$2:$C$47,3),VLOOKUP(A30,pAg!$O$3:$P1220,2)),"")</f>
        <v>0.97678430705454544</v>
      </c>
      <c r="C30" s="83">
        <f>VLOOKUP(A30,pAg!$A$7:$C$47,3)</f>
        <v>0.99</v>
      </c>
      <c r="D30" s="87">
        <f>IF($A30&lt;&gt;"",1-VLOOKUP($N30,'AR sim'!$E$10:$F$38,2)*ImC!$E$10/'AR sim'!$D$42,"")</f>
        <v>0.98570341614906842</v>
      </c>
      <c r="E30" s="88">
        <f t="shared" si="7"/>
        <v>0.95</v>
      </c>
      <c r="F30" s="87">
        <f>IF($L$10=1, IF($K$10="R",VLOOKUP($A30,dichroic!$F$5:$H$1232,3),VLOOKUP($A30,dichroic!$F$5:$H$1232,2)),1)</f>
        <v>1</v>
      </c>
      <c r="G30" s="83">
        <f t="shared" si="5"/>
        <v>0.8447281627191352</v>
      </c>
      <c r="H30" s="83">
        <f t="shared" si="6"/>
        <v>0.92576963319995753</v>
      </c>
      <c r="I30" s="83">
        <f t="shared" si="0"/>
        <v>0.95</v>
      </c>
      <c r="J30" s="89">
        <f t="shared" si="1"/>
        <v>0.98</v>
      </c>
      <c r="K30" s="46">
        <f>VLOOKUP($A30,'SWIR data'!$A$5:$K$795,11)/100</f>
        <v>0.80292781858696771</v>
      </c>
      <c r="L30" s="90">
        <f t="shared" si="8"/>
        <v>2.2385549581517536</v>
      </c>
      <c r="N30" s="6">
        <f t="shared" si="3"/>
        <v>0.41463414634146378</v>
      </c>
    </row>
    <row r="31" spans="1:14" ht="15">
      <c r="A31" s="79">
        <f t="shared" si="4"/>
        <v>1.3043902439024395</v>
      </c>
      <c r="B31" s="83">
        <f>IF($A31&lt;&gt;"",IF($E$5="pAu",VLOOKUP(A31,pAg!$A$2:$C$47,3),VLOOKUP(A31,pAg!$O$3:$P1221,2)),"")</f>
        <v>0.97716396739545464</v>
      </c>
      <c r="C31" s="83">
        <f>VLOOKUP(A31,pAg!$A$7:$C$47,3)</f>
        <v>0.99</v>
      </c>
      <c r="D31" s="87">
        <f>IF($A31&lt;&gt;"",1-VLOOKUP($N31,'AR sim'!$E$10:$F$38,2)*ImC!$E$10/'AR sim'!$D$42,"")</f>
        <v>0.9841149068322983</v>
      </c>
      <c r="E31" s="88">
        <f t="shared" si="7"/>
        <v>0.95</v>
      </c>
      <c r="F31" s="87">
        <f>IF($L$10=1, IF($K$10="R",VLOOKUP($A31,dichroic!$F$5:$H$1232,3),VLOOKUP($A31,dichroic!$F$5:$H$1232,2)),1)</f>
        <v>1</v>
      </c>
      <c r="G31" s="83">
        <f t="shared" si="5"/>
        <v>0.84637110060367826</v>
      </c>
      <c r="H31" s="83">
        <f t="shared" si="6"/>
        <v>0.92648943657707794</v>
      </c>
      <c r="I31" s="83">
        <f t="shared" si="0"/>
        <v>0.95</v>
      </c>
      <c r="J31" s="89">
        <f t="shared" si="1"/>
        <v>0.98</v>
      </c>
      <c r="K31" s="46">
        <f>VLOOKUP($A31,'SWIR data'!$A$5:$K$795,11)/100</f>
        <v>0.81455784748516269</v>
      </c>
      <c r="L31" s="90">
        <f t="shared" si="8"/>
        <v>2.2753962636242382</v>
      </c>
      <c r="N31" s="6">
        <f t="shared" si="3"/>
        <v>0.43902439024390283</v>
      </c>
    </row>
    <row r="32" spans="1:14" ht="15">
      <c r="A32" s="79">
        <f t="shared" si="4"/>
        <v>1.3346341463414639</v>
      </c>
      <c r="B32" s="83">
        <f>IF($A32&lt;&gt;"",IF($E$5="pAu",VLOOKUP(A32,pAg!$A$2:$C$47,3),VLOOKUP(A32,pAg!$O$3:$P1222,2)),"")</f>
        <v>0.97756358110454533</v>
      </c>
      <c r="C32" s="83">
        <f>VLOOKUP(A32,pAg!$A$7:$C$47,3)</f>
        <v>0.99</v>
      </c>
      <c r="D32" s="87">
        <f>IF($A32&lt;&gt;"",1-VLOOKUP($N32,'AR sim'!$E$10:$F$38,2)*ImC!$E$10/'AR sim'!$D$42,"")</f>
        <v>0.9841149068322983</v>
      </c>
      <c r="E32" s="88">
        <f t="shared" si="7"/>
        <v>0.95</v>
      </c>
      <c r="F32" s="87">
        <f>IF($L$10=1, IF($K$10="R",VLOOKUP($A32,dichroic!$F$5:$H$1232,3),VLOOKUP($A32,dichroic!$F$5:$H$1232,2)),1)</f>
        <v>1</v>
      </c>
      <c r="G32" s="83">
        <f t="shared" si="5"/>
        <v>0.8481031448271722</v>
      </c>
      <c r="H32" s="83">
        <f t="shared" si="6"/>
        <v>0.92724737198486007</v>
      </c>
      <c r="I32" s="83">
        <f t="shared" si="0"/>
        <v>0.95</v>
      </c>
      <c r="J32" s="89">
        <f t="shared" si="1"/>
        <v>0.98</v>
      </c>
      <c r="K32" s="46">
        <f>VLOOKUP($A32,'SWIR data'!$A$5:$K$795,11)/100</f>
        <v>0.824527089291193</v>
      </c>
      <c r="L32" s="90">
        <f t="shared" si="8"/>
        <v>2.3079579128535657</v>
      </c>
      <c r="N32" s="6">
        <f t="shared" si="3"/>
        <v>0.46341463414634188</v>
      </c>
    </row>
    <row r="33" spans="1:14" ht="15">
      <c r="A33" s="79">
        <f t="shared" si="4"/>
        <v>1.3648780487804884</v>
      </c>
      <c r="B33" s="83">
        <f>IF($A33&lt;&gt;"",IF($E$5="pAu",VLOOKUP(A33,pAg!$A$2:$C$47,3),VLOOKUP(A33,pAg!$O$3:$P1223,2)),"")</f>
        <v>0.97790032076363631</v>
      </c>
      <c r="C33" s="83">
        <f>VLOOKUP(A33,pAg!$A$7:$C$47,3)</f>
        <v>0.99</v>
      </c>
      <c r="D33" s="87">
        <f>IF($A33&lt;&gt;"",1-VLOOKUP($N33,'AR sim'!$E$10:$F$38,2)*ImC!$E$10/'AR sim'!$D$42,"")</f>
        <v>0.98252639751552795</v>
      </c>
      <c r="E33" s="88">
        <f t="shared" si="7"/>
        <v>0.95</v>
      </c>
      <c r="F33" s="87">
        <f>IF($L$10=1, IF($K$10="R",VLOOKUP($A33,dichroic!$F$5:$H$1232,3),VLOOKUP($A33,dichroic!$F$5:$H$1232,2)),1)</f>
        <v>1</v>
      </c>
      <c r="G33" s="83">
        <f t="shared" si="5"/>
        <v>0.84956487473686482</v>
      </c>
      <c r="H33" s="83">
        <f t="shared" si="6"/>
        <v>0.92788629665130151</v>
      </c>
      <c r="I33" s="83">
        <f t="shared" si="0"/>
        <v>0.95</v>
      </c>
      <c r="J33" s="89">
        <f t="shared" si="1"/>
        <v>0.98</v>
      </c>
      <c r="K33" s="46">
        <f>VLOOKUP($A33,'SWIR data'!$A$5:$K$795,11)/100</f>
        <v>0.83499677191413813</v>
      </c>
      <c r="L33" s="90">
        <f t="shared" si="8"/>
        <v>2.3412922488440988</v>
      </c>
      <c r="N33" s="6">
        <f t="shared" si="3"/>
        <v>0.48780487804878092</v>
      </c>
    </row>
    <row r="34" spans="1:14" ht="15">
      <c r="A34" s="79">
        <f t="shared" si="4"/>
        <v>1.3951219512195128</v>
      </c>
      <c r="B34" s="83">
        <f>IF($A34&lt;&gt;"",IF($E$5="pAu",VLOOKUP(A34,pAg!$A$2:$C$47,3),VLOOKUP(A34,pAg!$O$3:$P1224,2)),"")</f>
        <v>0.9783339915136362</v>
      </c>
      <c r="C34" s="83">
        <f>VLOOKUP(A34,pAg!$A$7:$C$47,3)</f>
        <v>0.99</v>
      </c>
      <c r="D34" s="87">
        <f>IF($A34&lt;&gt;"",1-VLOOKUP($N34,'AR sim'!$E$10:$F$38,2)*ImC!$E$10/'AR sim'!$D$42,"")</f>
        <v>0.98093788819875771</v>
      </c>
      <c r="E34" s="88">
        <f t="shared" si="7"/>
        <v>0.95</v>
      </c>
      <c r="F34" s="87">
        <f>IF($L$10=1, IF($K$10="R",VLOOKUP($A34,dichroic!$F$5:$H$1232,3),VLOOKUP($A34,dichroic!$F$5:$H$1232,2)),1)</f>
        <v>1</v>
      </c>
      <c r="G34" s="83">
        <f t="shared" si="5"/>
        <v>0.85145033458933317</v>
      </c>
      <c r="H34" s="83">
        <f t="shared" si="6"/>
        <v>0.92870946106475971</v>
      </c>
      <c r="I34" s="83">
        <f t="shared" si="0"/>
        <v>0.95</v>
      </c>
      <c r="J34" s="89">
        <f t="shared" si="1"/>
        <v>0.98</v>
      </c>
      <c r="K34" s="46">
        <f>VLOOKUP($A34,'SWIR data'!$A$5:$K$795,11)/100</f>
        <v>0.84383338289923671</v>
      </c>
      <c r="L34" s="90">
        <f t="shared" si="8"/>
        <v>2.3713207721388305</v>
      </c>
      <c r="N34" s="6">
        <f t="shared" si="3"/>
        <v>0.51219512195121997</v>
      </c>
    </row>
    <row r="35" spans="1:14" ht="15">
      <c r="A35" s="79">
        <f t="shared" si="4"/>
        <v>1.4253658536585372</v>
      </c>
      <c r="B35" s="83">
        <f>IF($A35&lt;&gt;"",IF($E$5="pAu",VLOOKUP(A35,pAg!$A$2:$C$47,3),VLOOKUP(A35,pAg!$O$3:$P1225,2)),"")</f>
        <v>0.97850715860000004</v>
      </c>
      <c r="C35" s="83">
        <f>VLOOKUP(A35,pAg!$A$7:$C$47,3)</f>
        <v>0.99</v>
      </c>
      <c r="D35" s="87">
        <f>IF($A35&lt;&gt;"",1-VLOOKUP($N35,'AR sim'!$E$10:$F$38,2)*ImC!$E$10/'AR sim'!$D$42,"")</f>
        <v>0.98252639751552795</v>
      </c>
      <c r="E35" s="88">
        <f t="shared" si="7"/>
        <v>0.95</v>
      </c>
      <c r="F35" s="87">
        <f>IF($L$10=1, IF($K$10="R",VLOOKUP($A35,dichroic!$F$5:$H$1232,3),VLOOKUP($A35,dichroic!$F$5:$H$1232,2)),1)</f>
        <v>1</v>
      </c>
      <c r="G35" s="83">
        <f t="shared" si="5"/>
        <v>0.85220414351154428</v>
      </c>
      <c r="H35" s="83">
        <f t="shared" si="6"/>
        <v>0.92903825705007215</v>
      </c>
      <c r="I35" s="83">
        <f t="shared" si="0"/>
        <v>0.95</v>
      </c>
      <c r="J35" s="89">
        <f t="shared" si="1"/>
        <v>0.98</v>
      </c>
      <c r="K35" s="46">
        <f>VLOOKUP($A35,'SWIR data'!$A$5:$K$795,11)/100</f>
        <v>0.85296578457038508</v>
      </c>
      <c r="L35" s="90">
        <f t="shared" si="8"/>
        <v>2.3991065394800204</v>
      </c>
      <c r="N35" s="6">
        <f t="shared" si="3"/>
        <v>0.53658536585365901</v>
      </c>
    </row>
    <row r="36" spans="1:14" ht="15">
      <c r="A36" s="79">
        <f t="shared" si="4"/>
        <v>1.4556097560975616</v>
      </c>
      <c r="B36" s="83">
        <f>IF($A36&lt;&gt;"",IF($E$5="pAu",VLOOKUP(A36,pAg!$A$2:$C$47,3),VLOOKUP(A36,pAg!$O$3:$P1226,2)),"")</f>
        <v>0.97916863460000014</v>
      </c>
      <c r="C36" s="83">
        <f>VLOOKUP(A36,pAg!$A$7:$C$47,3)</f>
        <v>0.99</v>
      </c>
      <c r="D36" s="87">
        <f>IF($A36&lt;&gt;"",1-VLOOKUP($N36,'AR sim'!$E$10:$F$38,2)*ImC!$E$10/'AR sim'!$D$42,"")</f>
        <v>0.98252639751552795</v>
      </c>
      <c r="E36" s="88">
        <f t="shared" si="7"/>
        <v>0.95</v>
      </c>
      <c r="F36" s="87">
        <f>IF($L$10=1, IF($K$10="R",VLOOKUP($A36,dichroic!$F$5:$H$1232,3),VLOOKUP($A36,dichroic!$F$5:$H$1232,2)),1)</f>
        <v>1</v>
      </c>
      <c r="G36" s="83">
        <f t="shared" si="5"/>
        <v>0.8550885130525645</v>
      </c>
      <c r="H36" s="83">
        <f t="shared" si="6"/>
        <v>0.93029475112817606</v>
      </c>
      <c r="I36" s="83">
        <f t="shared" si="0"/>
        <v>0.95</v>
      </c>
      <c r="J36" s="89">
        <f t="shared" si="1"/>
        <v>0.98</v>
      </c>
      <c r="K36" s="46">
        <f>VLOOKUP($A36,'SWIR data'!$A$5:$K$795,11)/100</f>
        <v>0.86058169211690594</v>
      </c>
      <c r="L36" s="90">
        <f t="shared" si="8"/>
        <v>2.4287200476633908</v>
      </c>
      <c r="N36" s="6">
        <f t="shared" si="3"/>
        <v>0.56097560975609806</v>
      </c>
    </row>
    <row r="37" spans="1:14" ht="15">
      <c r="A37" s="79">
        <f t="shared" si="4"/>
        <v>1.485853658536586</v>
      </c>
      <c r="B37" s="83">
        <f>IF($A37&lt;&gt;"",IF($E$5="pAu",VLOOKUP(A37,pAg!$A$2:$C$47,3),VLOOKUP(A37,pAg!$O$3:$P1227,2)),"")</f>
        <v>0.97958681048636365</v>
      </c>
      <c r="C37" s="83">
        <f>VLOOKUP(A37,pAg!$A$7:$C$47,3)</f>
        <v>0.99</v>
      </c>
      <c r="D37" s="87">
        <f>IF($A37&lt;&gt;"",1-VLOOKUP($N37,'AR sim'!$E$10:$F$38,2)*ImC!$E$10/'AR sim'!$D$42,"")</f>
        <v>0.9841149068322983</v>
      </c>
      <c r="E37" s="88">
        <f t="shared" si="7"/>
        <v>0.95</v>
      </c>
      <c r="F37" s="87">
        <f>IF($L$10=1, IF($K$10="R",VLOOKUP($A37,dichroic!$F$5:$H$1232,3),VLOOKUP($A37,dichroic!$F$5:$H$1232,2)),1)</f>
        <v>1</v>
      </c>
      <c r="G37" s="83">
        <f t="shared" si="5"/>
        <v>0.85691599678493402</v>
      </c>
      <c r="H37" s="83">
        <f t="shared" si="6"/>
        <v>0.93108952720594584</v>
      </c>
      <c r="I37" s="83">
        <f t="shared" si="0"/>
        <v>0.95</v>
      </c>
      <c r="J37" s="89">
        <f t="shared" si="1"/>
        <v>0.98</v>
      </c>
      <c r="K37" s="46">
        <f>VLOOKUP($A37,'SWIR data'!$A$5:$K$795,11)/100</f>
        <v>0.86775389464113761</v>
      </c>
      <c r="L37" s="90">
        <f t="shared" si="8"/>
        <v>2.4541952116358581</v>
      </c>
      <c r="N37" s="6">
        <f t="shared" si="3"/>
        <v>0.58536585365853711</v>
      </c>
    </row>
    <row r="38" spans="1:14" ht="15">
      <c r="A38" s="79">
        <f t="shared" si="4"/>
        <v>1.5160975609756104</v>
      </c>
      <c r="B38" s="83">
        <f>IF($A38&lt;&gt;"",IF($E$5="pAu",VLOOKUP(A38,pAg!$A$2:$C$47,3),VLOOKUP(A38,pAg!$O$3:$P1228,2)),"")</f>
        <v>0.97986957591818191</v>
      </c>
      <c r="C38" s="83">
        <f>VLOOKUP(A38,pAg!$A$7:$C$47,3)</f>
        <v>0.99</v>
      </c>
      <c r="D38" s="87">
        <f>IF($A38&lt;&gt;"",1-VLOOKUP($N38,'AR sim'!$E$10:$F$38,2)*ImC!$E$10/'AR sim'!$D$42,"")</f>
        <v>0.98570341614906842</v>
      </c>
      <c r="E38" s="88">
        <f t="shared" si="7"/>
        <v>0.95</v>
      </c>
      <c r="F38" s="87">
        <f>IF($L$10=1, IF($K$10="R",VLOOKUP($A38,dichroic!$F$5:$H$1232,3),VLOOKUP($A38,dichroic!$F$5:$H$1232,2)),1)</f>
        <v>1</v>
      </c>
      <c r="G38" s="83">
        <f t="shared" si="5"/>
        <v>0.85815348868888541</v>
      </c>
      <c r="H38" s="83">
        <f t="shared" si="6"/>
        <v>0.93162713740713243</v>
      </c>
      <c r="I38" s="83">
        <f t="shared" si="0"/>
        <v>0.95</v>
      </c>
      <c r="J38" s="89">
        <f t="shared" si="1"/>
        <v>0.98</v>
      </c>
      <c r="K38" s="46">
        <f>VLOOKUP($A38,'SWIR data'!$A$5:$K$795,11)/100</f>
        <v>0.87398840916252085</v>
      </c>
      <c r="L38" s="90">
        <f t="shared" si="8"/>
        <v>2.4753973864128453</v>
      </c>
      <c r="N38" s="6">
        <f t="shared" si="3"/>
        <v>0.60975609756097615</v>
      </c>
    </row>
    <row r="39" spans="1:14" ht="15">
      <c r="A39" s="79">
        <f t="shared" si="4"/>
        <v>1.5463414634146349</v>
      </c>
      <c r="B39" s="83">
        <f>IF($A39&lt;&gt;"",IF($E$5="pAu",VLOOKUP(A39,pAg!$A$2:$C$47,3),VLOOKUP(A39,pAg!$O$3:$P1229,2)),"")</f>
        <v>0.98026482248181823</v>
      </c>
      <c r="C39" s="83">
        <f>VLOOKUP(A39,pAg!$A$7:$C$47,3)</f>
        <v>0.99</v>
      </c>
      <c r="D39" s="87">
        <f>IF($A39&lt;&gt;"",1-VLOOKUP($N39,'AR sim'!$E$10:$F$38,2)*ImC!$E$10/'AR sim'!$D$42,"")</f>
        <v>0.98570341614906842</v>
      </c>
      <c r="E39" s="88">
        <f t="shared" si="7"/>
        <v>0.95</v>
      </c>
      <c r="F39" s="87">
        <f>IF($L$10=1, IF($K$10="R",VLOOKUP($A39,dichroic!$F$5:$H$1232,3),VLOOKUP($A39,dichroic!$F$5:$H$1232,2)),1)</f>
        <v>1</v>
      </c>
      <c r="G39" s="83">
        <f t="shared" si="5"/>
        <v>0.85988563736307699</v>
      </c>
      <c r="H39" s="83">
        <f t="shared" si="6"/>
        <v>0.93237886334698761</v>
      </c>
      <c r="I39" s="83">
        <f t="shared" si="0"/>
        <v>0.95</v>
      </c>
      <c r="J39" s="89">
        <f t="shared" si="1"/>
        <v>0.98</v>
      </c>
      <c r="K39" s="46">
        <f>VLOOKUP($A39,'SWIR data'!$A$5:$K$795,11)/100</f>
        <v>0.87911282456656448</v>
      </c>
      <c r="L39" s="90">
        <f t="shared" si="8"/>
        <v>2.4949370550811789</v>
      </c>
      <c r="N39" s="6">
        <f t="shared" si="3"/>
        <v>0.6341463414634152</v>
      </c>
    </row>
    <row r="40" spans="1:14" ht="15">
      <c r="A40" s="79">
        <f t="shared" si="4"/>
        <v>1.5765853658536593</v>
      </c>
      <c r="B40" s="83">
        <f>IF($A40&lt;&gt;"",IF($E$5="pAu",VLOOKUP(A40,pAg!$A$2:$C$47,3),VLOOKUP(A40,pAg!$O$3:$P1230,2)),"")</f>
        <v>0.98050538724999992</v>
      </c>
      <c r="C40" s="83">
        <f>VLOOKUP(A40,pAg!$A$7:$C$47,3)</f>
        <v>0.99</v>
      </c>
      <c r="D40" s="87">
        <f>IF($A40&lt;&gt;"",1-VLOOKUP($N40,'AR sim'!$E$10:$F$38,2)*ImC!$E$10/'AR sim'!$D$42,"")</f>
        <v>0.98729192546583855</v>
      </c>
      <c r="E40" s="88">
        <f t="shared" si="7"/>
        <v>0.95</v>
      </c>
      <c r="F40" s="87">
        <f>IF($L$10=1, IF($K$10="R",VLOOKUP($A40,dichroic!$F$5:$H$1232,3),VLOOKUP($A40,dichroic!$F$5:$H$1232,2)),1)</f>
        <v>1</v>
      </c>
      <c r="G40" s="83">
        <f t="shared" si="5"/>
        <v>0.8609412691600703</v>
      </c>
      <c r="H40" s="83">
        <f t="shared" si="6"/>
        <v>0.93283654584699749</v>
      </c>
      <c r="I40" s="83">
        <f t="shared" si="0"/>
        <v>0.95</v>
      </c>
      <c r="J40" s="89">
        <f t="shared" si="1"/>
        <v>0.98</v>
      </c>
      <c r="K40" s="46">
        <f>VLOOKUP($A40,'SWIR data'!$A$5:$K$795,11)/100</f>
        <v>0.88428871312199309</v>
      </c>
      <c r="L40" s="90">
        <f t="shared" si="8"/>
        <v>2.5127072371673651</v>
      </c>
      <c r="N40" s="6">
        <f t="shared" si="3"/>
        <v>0.65853658536585424</v>
      </c>
    </row>
    <row r="41" spans="1:14" ht="15">
      <c r="A41" s="79">
        <f t="shared" si="4"/>
        <v>1.6068292682926837</v>
      </c>
      <c r="B41" s="83">
        <f>IF($A41&lt;&gt;"",IF($E$5="pAu",VLOOKUP(A41,pAg!$A$2:$C$47,3),VLOOKUP(A41,pAg!$O$3:$P1231,2)),"")</f>
        <v>0.98085438621363641</v>
      </c>
      <c r="C41" s="83">
        <f>VLOOKUP(A41,pAg!$A$7:$C$47,3)</f>
        <v>0.99</v>
      </c>
      <c r="D41" s="87">
        <f>IF($A41&lt;&gt;"",1-VLOOKUP($N41,'AR sim'!$E$10:$F$38,2)*ImC!$E$10/'AR sim'!$D$42,"")</f>
        <v>0.98888043478260879</v>
      </c>
      <c r="E41" s="88">
        <f t="shared" si="7"/>
        <v>0.95</v>
      </c>
      <c r="F41" s="87">
        <f>IF($L$10=1, IF($K$10="R",VLOOKUP($A41,dichroic!$F$5:$H$1232,3),VLOOKUP($A41,dichroic!$F$5:$H$1232,2)),1)</f>
        <v>1</v>
      </c>
      <c r="G41" s="83">
        <f t="shared" si="5"/>
        <v>0.86247456814203804</v>
      </c>
      <c r="H41" s="83">
        <f t="shared" si="6"/>
        <v>0.93350072766865289</v>
      </c>
      <c r="I41" s="83">
        <f t="shared" si="0"/>
        <v>0.95</v>
      </c>
      <c r="J41" s="89">
        <f t="shared" si="1"/>
        <v>0.98</v>
      </c>
      <c r="K41" s="46">
        <f>VLOOKUP($A41,'SWIR data'!$A$5:$K$795,11)/100</f>
        <v>0.8885101445909015</v>
      </c>
      <c r="L41" s="90">
        <f t="shared" si="8"/>
        <v>2.5291988241005123</v>
      </c>
      <c r="N41" s="6">
        <f t="shared" si="3"/>
        <v>0.68292682926829329</v>
      </c>
    </row>
    <row r="42" spans="1:14" ht="15">
      <c r="A42" s="79">
        <f t="shared" si="4"/>
        <v>1.6370731707317081</v>
      </c>
      <c r="B42" s="83">
        <f>IF($A42&lt;&gt;"",IF($E$5="pAu",VLOOKUP(A42,pAg!$A$2:$C$47,3),VLOOKUP(A42,pAg!$O$3:$P1232,2)),"")</f>
        <v>0.98108137104090942</v>
      </c>
      <c r="C42" s="83">
        <f>VLOOKUP(A42,pAg!$A$7:$C$47,3)</f>
        <v>0.99</v>
      </c>
      <c r="D42" s="87">
        <f>IF($A42&lt;&gt;"",1-VLOOKUP($N42,'AR sim'!$E$10:$F$38,2)*ImC!$E$10/'AR sim'!$D$42,"")</f>
        <v>0.98888043478260879</v>
      </c>
      <c r="E42" s="88">
        <f t="shared" si="7"/>
        <v>0.95</v>
      </c>
      <c r="F42" s="87">
        <f>IF($L$10=1, IF($K$10="R",VLOOKUP($A42,dichroic!$F$5:$H$1232,3),VLOOKUP($A42,dichroic!$F$5:$H$1232,2)),1)</f>
        <v>1</v>
      </c>
      <c r="G42" s="83">
        <f t="shared" si="5"/>
        <v>0.86347297969202919</v>
      </c>
      <c r="H42" s="83">
        <f t="shared" si="6"/>
        <v>0.9339328305817296</v>
      </c>
      <c r="I42" s="83">
        <f t="shared" si="0"/>
        <v>0.95</v>
      </c>
      <c r="J42" s="89">
        <f t="shared" si="1"/>
        <v>0.98</v>
      </c>
      <c r="K42" s="46">
        <f>VLOOKUP($A42,'SWIR data'!$A$5:$K$795,11)/100</f>
        <v>0.8927309346047454</v>
      </c>
      <c r="L42" s="90">
        <f t="shared" si="8"/>
        <v>2.5441553039118334</v>
      </c>
      <c r="N42" s="6">
        <f t="shared" si="3"/>
        <v>0.70731707317073234</v>
      </c>
    </row>
    <row r="43" spans="1:14" ht="15">
      <c r="A43" s="79">
        <f t="shared" si="4"/>
        <v>1.6673170731707325</v>
      </c>
      <c r="B43" s="83">
        <f>IF($A43&lt;&gt;"",IF($E$5="pAu",VLOOKUP(A43,pAg!$A$2:$C$47,3),VLOOKUP(A43,pAg!$O$3:$P1233,2)),"")</f>
        <v>0.98132383264090917</v>
      </c>
      <c r="C43" s="83">
        <f>VLOOKUP(A43,pAg!$A$7:$C$47,3)</f>
        <v>0.99</v>
      </c>
      <c r="D43" s="87">
        <f>IF($A43&lt;&gt;"",1-VLOOKUP($N43,'AR sim'!$E$10:$F$38,2)*ImC!$E$10/'AR sim'!$D$42,"")</f>
        <v>0.99046894409937902</v>
      </c>
      <c r="E43" s="88">
        <f t="shared" si="7"/>
        <v>0.95</v>
      </c>
      <c r="F43" s="87">
        <f>IF($L$10=1, IF($K$10="R",VLOOKUP($A43,dichroic!$F$5:$H$1232,3),VLOOKUP($A43,dichroic!$F$5:$H$1232,2)),1)</f>
        <v>1</v>
      </c>
      <c r="G43" s="83">
        <f t="shared" si="5"/>
        <v>0.86454048822262919</v>
      </c>
      <c r="H43" s="83">
        <f t="shared" si="6"/>
        <v>0.9343945065166599</v>
      </c>
      <c r="I43" s="83">
        <f t="shared" si="0"/>
        <v>0.95</v>
      </c>
      <c r="J43" s="89">
        <f t="shared" si="1"/>
        <v>0.98</v>
      </c>
      <c r="K43" s="46">
        <f>VLOOKUP($A43,'SWIR data'!$A$5:$K$795,11)/100</f>
        <v>0.8961475948044948</v>
      </c>
      <c r="L43" s="90">
        <f t="shared" si="8"/>
        <v>2.5570496639712483</v>
      </c>
      <c r="N43" s="6">
        <f t="shared" si="3"/>
        <v>0.73170731707317138</v>
      </c>
    </row>
    <row r="44" spans="1:14" ht="15">
      <c r="A44" s="79">
        <f t="shared" si="4"/>
        <v>1.6975609756097569</v>
      </c>
      <c r="B44" s="83">
        <f>IF($A44&lt;&gt;"",IF($E$5="pAu",VLOOKUP(A44,pAg!$A$2:$C$47,3),VLOOKUP(A44,pAg!$O$3:$P1234,2)),"")</f>
        <v>0.98154382804545448</v>
      </c>
      <c r="C44" s="83">
        <f>VLOOKUP(A44,pAg!$A$7:$C$47,3)</f>
        <v>0.99</v>
      </c>
      <c r="D44" s="87">
        <f>IF($A44&lt;&gt;"",1-VLOOKUP($N44,'AR sim'!$E$10:$F$38,2)*ImC!$E$10/'AR sim'!$D$42,"")</f>
        <v>0.9896746894409939</v>
      </c>
      <c r="E44" s="88">
        <f t="shared" si="7"/>
        <v>0.95</v>
      </c>
      <c r="F44" s="87">
        <f>IF($L$10=1, IF($K$10="R",VLOOKUP($A44,dichroic!$F$5:$H$1232,3),VLOOKUP($A44,dichroic!$F$5:$H$1232,2)),1)</f>
        <v>1</v>
      </c>
      <c r="G44" s="83">
        <f t="shared" si="5"/>
        <v>0.86550999606452206</v>
      </c>
      <c r="H44" s="83">
        <f t="shared" si="6"/>
        <v>0.93481350284052678</v>
      </c>
      <c r="I44" s="83">
        <f t="shared" si="0"/>
        <v>0.95</v>
      </c>
      <c r="J44" s="89">
        <f t="shared" si="1"/>
        <v>0.98</v>
      </c>
      <c r="K44" s="46">
        <f>VLOOKUP($A44,'SWIR data'!$A$5:$K$795,11)/100</f>
        <v>0.89953810816718571</v>
      </c>
      <c r="L44" s="90">
        <f t="shared" si="8"/>
        <v>2.5696024475699457</v>
      </c>
      <c r="N44" s="6">
        <f t="shared" si="3"/>
        <v>0.75609756097561043</v>
      </c>
    </row>
    <row r="45" spans="1:14" ht="15">
      <c r="A45" s="79">
        <f t="shared" si="4"/>
        <v>1.7278048780487814</v>
      </c>
      <c r="B45" s="83">
        <f>IF($A45&lt;&gt;"",IF($E$5="pAu",VLOOKUP(A45,pAg!$A$2:$C$47,3),VLOOKUP(A45,pAg!$O$3:$P1213,2)),"")</f>
        <v>0.9817769836818182</v>
      </c>
      <c r="C45" s="83">
        <f>VLOOKUP(A45,pAg!$A$7:$C$47,3)</f>
        <v>0.99</v>
      </c>
      <c r="D45" s="87">
        <f>IF($A45&lt;&gt;"",1-VLOOKUP($N45,'AR sim'!$E$10:$F$38,2)*ImC!$E$10/'AR sim'!$D$42,"")</f>
        <v>0.9896746894409939</v>
      </c>
      <c r="E45" s="88">
        <f t="shared" si="7"/>
        <v>0.95</v>
      </c>
      <c r="F45" s="87">
        <f>IF($L$10=1, IF($K$10="R",VLOOKUP($A45,dichroic!$F$5:$H$1232,3),VLOOKUP($A45,dichroic!$F$5:$H$1232,2)),1)</f>
        <v>1</v>
      </c>
      <c r="G45" s="83">
        <f t="shared" si="5"/>
        <v>0.86653844951330916</v>
      </c>
      <c r="H45" s="83">
        <f t="shared" si="6"/>
        <v>0.93525766624440854</v>
      </c>
      <c r="I45" s="83">
        <f t="shared" si="0"/>
        <v>0.95</v>
      </c>
      <c r="J45" s="89">
        <f t="shared" si="1"/>
        <v>0.98</v>
      </c>
      <c r="K45" s="46">
        <f>VLOOKUP($A45,'SWIR data'!$A$5:$K$795,11)/100</f>
        <v>0.90226056450681469</v>
      </c>
      <c r="L45" s="90">
        <f t="shared" ref="L45" si="9">IF($A45&lt;&gt;"",G45*$K45*$J45*$O$5,"")</f>
        <v>2.5804419658995141</v>
      </c>
      <c r="N45" s="6">
        <f t="shared" si="3"/>
        <v>0.78048780487804947</v>
      </c>
    </row>
    <row r="46" spans="1:14" ht="15">
      <c r="A46" s="79">
        <f t="shared" si="4"/>
        <v>1.7580487804878058</v>
      </c>
      <c r="B46" s="83">
        <f>IF($A46&lt;&gt;"",IF($E$5="pAu",VLOOKUP(A46,pAg!$A$2:$C$47,3),VLOOKUP(A46,pAg!$O$3:$P1214,2)),"")</f>
        <v>0.9820514616681818</v>
      </c>
      <c r="C46" s="83">
        <f>VLOOKUP(A46,pAg!$A$7:$C$47,3)</f>
        <v>0.99</v>
      </c>
      <c r="D46" s="87">
        <f>IF($A46&lt;&gt;"",1-VLOOKUP($N46,'AR sim'!$E$10:$F$38,2)*ImC!$E$10/'AR sim'!$D$42,"")</f>
        <v>0.98888043478260879</v>
      </c>
      <c r="E46" s="88">
        <f t="shared" si="7"/>
        <v>0.95</v>
      </c>
      <c r="F46" s="87">
        <f>IF($L$10=1, IF($K$10="R",VLOOKUP($A46,dichroic!$F$5:$H$1232,3),VLOOKUP($A46,dichroic!$F$5:$H$1232,2)),1)</f>
        <v>1</v>
      </c>
      <c r="G46" s="83">
        <f t="shared" si="5"/>
        <v>0.86775042922045376</v>
      </c>
      <c r="H46" s="83">
        <f t="shared" si="6"/>
        <v>0.9357806842606099</v>
      </c>
      <c r="I46" s="83">
        <f t="shared" si="0"/>
        <v>0.95</v>
      </c>
      <c r="J46" s="89">
        <f t="shared" si="1"/>
        <v>0.98</v>
      </c>
      <c r="K46" s="46">
        <f>VLOOKUP($A46,'SWIR data'!$A$5:$K$795,11)/100</f>
        <v>0.904949573741892</v>
      </c>
      <c r="L46" s="90">
        <f t="shared" ref="L46:L50" si="10">IF($A46&lt;&gt;"",G46*$K46*$J46*$O$5,"")</f>
        <v>2.5917523416645345</v>
      </c>
      <c r="N46" s="6">
        <f t="shared" si="3"/>
        <v>0.80487804878048852</v>
      </c>
    </row>
    <row r="47" spans="1:14" ht="15">
      <c r="A47" s="79">
        <f t="shared" si="4"/>
        <v>1.7882926829268302</v>
      </c>
      <c r="B47" s="83">
        <f>IF($A47&lt;&gt;"",IF($E$5="pAu",VLOOKUP(A47,pAg!$A$2:$C$47,3),VLOOKUP(A47,pAg!$O$3:$P1215,2)),"")</f>
        <v>0.98216820954090933</v>
      </c>
      <c r="C47" s="83">
        <f>VLOOKUP(A47,pAg!$A$7:$C$47,3)</f>
        <v>0.99</v>
      </c>
      <c r="D47" s="87">
        <f>IF($A47&lt;&gt;"",1-VLOOKUP($N47,'AR sim'!$E$10:$F$38,2)*ImC!$E$10/'AR sim'!$D$42,"")</f>
        <v>0.98808618012422367</v>
      </c>
      <c r="E47" s="88">
        <f t="shared" si="7"/>
        <v>0.95</v>
      </c>
      <c r="F47" s="87">
        <f>IF($L$10=1, IF($K$10="R",VLOOKUP($A47,dichroic!$F$5:$H$1232,3),VLOOKUP($A47,dichroic!$F$5:$H$1232,2)),1)</f>
        <v>1</v>
      </c>
      <c r="G47" s="83">
        <f t="shared" si="5"/>
        <v>0.86826634977457917</v>
      </c>
      <c r="H47" s="83">
        <f t="shared" si="6"/>
        <v>0.93600319174096958</v>
      </c>
      <c r="I47" s="83">
        <f t="shared" si="0"/>
        <v>0.95</v>
      </c>
      <c r="J47" s="89">
        <f t="shared" si="1"/>
        <v>0.98</v>
      </c>
      <c r="K47" s="46">
        <f>VLOOKUP($A47,'SWIR data'!$A$5:$K$795,11)/100</f>
        <v>0.90731439385389179</v>
      </c>
      <c r="L47" s="90">
        <f t="shared" si="10"/>
        <v>2.6000700774661629</v>
      </c>
      <c r="N47" s="6">
        <f t="shared" si="3"/>
        <v>0.82926829268292757</v>
      </c>
    </row>
    <row r="48" spans="1:14" ht="15">
      <c r="A48" s="79">
        <f t="shared" si="4"/>
        <v>1.8185365853658546</v>
      </c>
      <c r="B48" s="83">
        <f>IF($A48&lt;&gt;"",IF($E$5="pAu",VLOOKUP(A48,pAg!$A$2:$C$47,3),VLOOKUP(A48,pAg!$O$3:$P1216,2)),"")</f>
        <v>0.98183853799999998</v>
      </c>
      <c r="C48" s="83">
        <f>VLOOKUP(A48,pAg!$A$7:$C$47,3)</f>
        <v>0.99</v>
      </c>
      <c r="D48" s="87">
        <f>IF($A48&lt;&gt;"",1-VLOOKUP($N48,'AR sim'!$E$10:$F$38,2)*ImC!$E$10/'AR sim'!$D$42,"")</f>
        <v>0.98808618012422367</v>
      </c>
      <c r="E48" s="88">
        <f t="shared" si="7"/>
        <v>0.95</v>
      </c>
      <c r="F48" s="87">
        <f>IF($L$10=1, IF($K$10="R",VLOOKUP($A48,dichroic!$F$5:$H$1232,3),VLOOKUP($A48,dichroic!$F$5:$H$1232,2)),1)</f>
        <v>1</v>
      </c>
      <c r="G48" s="83">
        <f t="shared" si="5"/>
        <v>0.86681012970718729</v>
      </c>
      <c r="H48" s="83">
        <f t="shared" si="6"/>
        <v>0.93537494532841392</v>
      </c>
      <c r="I48" s="83">
        <f t="shared" si="0"/>
        <v>0.95</v>
      </c>
      <c r="J48" s="89">
        <f t="shared" si="1"/>
        <v>0.98</v>
      </c>
      <c r="K48" s="46">
        <f>VLOOKUP($A48,'SWIR data'!$A$5:$K$795,11)/100</f>
        <v>0.90919404479801957</v>
      </c>
      <c r="L48" s="90">
        <f t="shared" si="10"/>
        <v>2.6010867871904231</v>
      </c>
      <c r="N48" s="6">
        <f t="shared" si="3"/>
        <v>0.85365853658536661</v>
      </c>
    </row>
    <row r="49" spans="1:14" ht="15">
      <c r="A49" s="79">
        <f t="shared" si="4"/>
        <v>1.848780487804879</v>
      </c>
      <c r="B49" s="83">
        <f>IF($A49&lt;&gt;"",IF($E$5="pAu",VLOOKUP(A49,pAg!$A$2:$C$47,3),VLOOKUP(A49,pAg!$O$3:$P1217,2)),"")</f>
        <v>0.98187978074999993</v>
      </c>
      <c r="C49" s="83">
        <f>VLOOKUP(A49,pAg!$A$7:$C$47,3)</f>
        <v>0.99</v>
      </c>
      <c r="D49" s="87">
        <f>IF($A49&lt;&gt;"",1-VLOOKUP($N49,'AR sim'!$E$10:$F$38,2)*ImC!$E$10/'AR sim'!$D$42,"")</f>
        <v>0.98729192546583855</v>
      </c>
      <c r="E49" s="88">
        <f t="shared" si="7"/>
        <v>0.95</v>
      </c>
      <c r="F49" s="87">
        <f>IF($L$10=1, IF($K$10="R",VLOOKUP($A49,dichroic!$F$5:$H$1232,3),VLOOKUP($A49,dichroic!$F$5:$H$1232,2)),1)</f>
        <v>1</v>
      </c>
      <c r="G49" s="83">
        <f t="shared" si="5"/>
        <v>0.86699219954653128</v>
      </c>
      <c r="H49" s="83">
        <f t="shared" si="6"/>
        <v>0.93545352901354761</v>
      </c>
      <c r="I49" s="83">
        <f t="shared" si="0"/>
        <v>0.95</v>
      </c>
      <c r="J49" s="89">
        <f t="shared" si="1"/>
        <v>0.98</v>
      </c>
      <c r="K49" s="46">
        <f>VLOOKUP($A49,'SWIR data'!$A$5:$K$795,11)/100</f>
        <v>0.91103005493142153</v>
      </c>
      <c r="L49" s="90">
        <f t="shared" si="10"/>
        <v>2.6068868258329791</v>
      </c>
      <c r="N49" s="6">
        <f t="shared" si="3"/>
        <v>0.87804878048780566</v>
      </c>
    </row>
    <row r="50" spans="1:14" ht="15">
      <c r="A50" s="79">
        <f t="shared" si="4"/>
        <v>1.8790243902439034</v>
      </c>
      <c r="B50" s="83">
        <f>IF($A50&lt;&gt;"",IF($E$5="pAu",VLOOKUP(A50,pAg!$A$2:$C$47,3),VLOOKUP(A50,pAg!$O$3:$P1218,2)),"")</f>
        <v>0.98209383057727284</v>
      </c>
      <c r="C50" s="83">
        <f>VLOOKUP(A50,pAg!$A$7:$C$47,3)</f>
        <v>0.99</v>
      </c>
      <c r="D50" s="87">
        <f>IF($A50&lt;&gt;"",1-VLOOKUP($N50,'AR sim'!$E$10:$F$38,2)*ImC!$E$10/'AR sim'!$D$42,"")</f>
        <v>0.98252639751552795</v>
      </c>
      <c r="E50" s="88">
        <f t="shared" si="7"/>
        <v>0.95</v>
      </c>
      <c r="F50" s="87">
        <f>IF($L$10=1, IF($K$10="R",VLOOKUP($A50,dichroic!$F$5:$H$1232,3),VLOOKUP($A50,dichroic!$F$5:$H$1232,2)),1)</f>
        <v>1</v>
      </c>
      <c r="G50" s="83">
        <f t="shared" si="5"/>
        <v>0.86793763331820739</v>
      </c>
      <c r="H50" s="83">
        <f t="shared" si="6"/>
        <v>0.93586143127552812</v>
      </c>
      <c r="I50" s="83">
        <f t="shared" si="0"/>
        <v>0.95</v>
      </c>
      <c r="J50" s="89">
        <f t="shared" si="1"/>
        <v>0.98</v>
      </c>
      <c r="K50" s="46">
        <f>VLOOKUP($A50,'SWIR data'!$A$5:$K$795,11)/100</f>
        <v>0.91247902851664564</v>
      </c>
      <c r="L50" s="90">
        <f t="shared" si="10"/>
        <v>2.6138802905089511</v>
      </c>
      <c r="N50" s="6">
        <f t="shared" si="3"/>
        <v>0.9024390243902447</v>
      </c>
    </row>
    <row r="51" spans="1:14" ht="15">
      <c r="A51" s="79">
        <f t="shared" si="4"/>
        <v>1.9092682926829279</v>
      </c>
      <c r="B51" s="83">
        <f>IF($A51&lt;&gt;"",IF($E$5="pAu",VLOOKUP(A51,pAg!$A$2:$C$47,3),VLOOKUP(A51,pAg!$O$3:$P1219,2)),"")</f>
        <v>0.98203866868181811</v>
      </c>
      <c r="C51" s="83">
        <f>VLOOKUP(A51,pAg!$A$7:$C$47,3)</f>
        <v>0.99</v>
      </c>
      <c r="D51" s="87">
        <f>IF($A51&lt;&gt;"",1-VLOOKUP($N51,'AR sim'!$E$10:$F$38,2)*ImC!$E$10/'AR sim'!$D$42,"")</f>
        <v>0.98252639751552795</v>
      </c>
      <c r="E51" s="88">
        <f t="shared" si="7"/>
        <v>0.95</v>
      </c>
      <c r="F51" s="87">
        <f>IF($L$10=1, IF($K$10="R",VLOOKUP($A51,dichroic!$F$5:$H$1232,3),VLOOKUP($A51,dichroic!$F$5:$H$1232,2)),1)</f>
        <v>1</v>
      </c>
      <c r="G51" s="83">
        <f t="shared" si="5"/>
        <v>0.86769391064367318</v>
      </c>
      <c r="H51" s="83">
        <f t="shared" si="6"/>
        <v>0.93575630396685605</v>
      </c>
      <c r="I51" s="83">
        <f t="shared" si="0"/>
        <v>0.95</v>
      </c>
      <c r="J51" s="89">
        <f t="shared" si="1"/>
        <v>0.98</v>
      </c>
      <c r="K51" s="46">
        <f>VLOOKUP($A51,'SWIR data'!$A$5:$K$795,11)/100</f>
        <v>0.91388753358807095</v>
      </c>
      <c r="L51" s="90">
        <f t="shared" ref="L51:L52" si="11">IF($A51&lt;&gt;"",G51*$K51*$J51*$O$5,"")</f>
        <v>2.6171799551129347</v>
      </c>
      <c r="N51" s="6">
        <f t="shared" si="3"/>
        <v>0.92682926829268375</v>
      </c>
    </row>
    <row r="52" spans="1:14" ht="15">
      <c r="A52" s="79">
        <f t="shared" si="4"/>
        <v>1.9395121951219523</v>
      </c>
      <c r="B52" s="83">
        <f>IF($A52&lt;&gt;"",IF($E$5="pAu",VLOOKUP(A52,pAg!$A$2:$C$47,3),VLOOKUP(A52,pAg!$O$3:$P1220,2)),"")</f>
        <v>0.98238571111363637</v>
      </c>
      <c r="C52" s="83">
        <f>VLOOKUP(A52,pAg!$A$7:$C$47,3)</f>
        <v>0.99</v>
      </c>
      <c r="D52" s="87">
        <f>IF($A52&lt;&gt;"",1-VLOOKUP($N52,'AR sim'!$E$10:$F$38,2)*ImC!$E$10/'AR sim'!$D$42,"")</f>
        <v>0.97776086956521746</v>
      </c>
      <c r="E52" s="88">
        <f t="shared" si="7"/>
        <v>0.95</v>
      </c>
      <c r="F52" s="87">
        <f>IF($L$10=1, IF($K$10="R",VLOOKUP($A52,dichroic!$F$5:$H$1232,3),VLOOKUP($A52,dichroic!$F$5:$H$1232,2)),1)</f>
        <v>1</v>
      </c>
      <c r="G52" s="83">
        <f t="shared" si="5"/>
        <v>0.86922816545353909</v>
      </c>
      <c r="H52" s="83">
        <f t="shared" si="6"/>
        <v>0.9364177942621722</v>
      </c>
      <c r="I52" s="83">
        <f t="shared" si="0"/>
        <v>0.95</v>
      </c>
      <c r="J52" s="89">
        <f t="shared" si="1"/>
        <v>0.98</v>
      </c>
      <c r="K52" s="46">
        <f>VLOOKUP($A52,'SWIR data'!$A$5:$K$795,11)/100</f>
        <v>0.91500001994431301</v>
      </c>
      <c r="L52" s="90">
        <f t="shared" si="11"/>
        <v>2.6249992061793761</v>
      </c>
      <c r="N52" s="6">
        <f t="shared" si="3"/>
        <v>0.9512195121951228</v>
      </c>
    </row>
    <row r="53" spans="1:14" ht="15">
      <c r="A53" s="79">
        <f t="shared" si="4"/>
        <v>1.9697560975609767</v>
      </c>
      <c r="B53" s="83">
        <f>IF($A53&lt;&gt;"",IF($E$5="pAu",VLOOKUP(A53,pAg!$A$2:$C$47,3),VLOOKUP(A53,pAg!$O$3:$P1221,2)),"")</f>
        <v>0.98306611653636378</v>
      </c>
      <c r="C53" s="83">
        <f>VLOOKUP(A53,pAg!$A$7:$C$47,3)</f>
        <v>0.99</v>
      </c>
      <c r="D53" s="87">
        <f>IF($A53&lt;&gt;"",1-VLOOKUP($N53,'AR sim'!$E$10:$F$38,2)*ImC!$E$10/'AR sim'!$D$42,"")</f>
        <v>0.97299534161490686</v>
      </c>
      <c r="E53" s="88">
        <f t="shared" si="7"/>
        <v>0.95</v>
      </c>
      <c r="F53" s="87">
        <f>IF($L$10=1, IF($K$10="R",VLOOKUP($A53,dichroic!$F$5:$H$1232,3),VLOOKUP($A53,dichroic!$F$5:$H$1232,2)),1)</f>
        <v>1</v>
      </c>
      <c r="G53" s="83">
        <f t="shared" si="5"/>
        <v>0.87224249765444795</v>
      </c>
      <c r="H53" s="83">
        <f t="shared" si="6"/>
        <v>0.9377153790752859</v>
      </c>
      <c r="I53" s="83">
        <f t="shared" si="0"/>
        <v>0.95</v>
      </c>
      <c r="J53" s="89">
        <f t="shared" si="1"/>
        <v>0.98</v>
      </c>
      <c r="K53" s="46">
        <f>VLOOKUP($A53,'SWIR data'!$A$5:$K$795,11)/100</f>
        <v>0.91607555806728935</v>
      </c>
      <c r="L53" s="90">
        <f t="shared" ref="L53:L54" si="12">IF($A53&lt;&gt;"",G53*$K53*$J53*$O$5,"")</f>
        <v>2.6371985065578483</v>
      </c>
      <c r="N53" s="6">
        <f t="shared" si="3"/>
        <v>0.97560975609756184</v>
      </c>
    </row>
    <row r="54" spans="1:14" ht="15">
      <c r="A54" s="79">
        <f t="shared" si="4"/>
        <v>2.0000000000000009</v>
      </c>
      <c r="B54" s="83">
        <f>IF($A54&lt;&gt;"",IF($E$5="pAu",VLOOKUP(A54,pAg!$A$2:$C$47,3),VLOOKUP(A54,pAg!$O$3:$P1222,2)),"")</f>
        <v>0.98315435132727291</v>
      </c>
      <c r="C54" s="83">
        <f>VLOOKUP(A54,pAg!$A$7:$C$47,3)</f>
        <v>0.99</v>
      </c>
      <c r="D54" s="87">
        <f>IF($A54&lt;&gt;"",1-VLOOKUP($N54,'AR sim'!$E$10:$F$38,2)*ImC!$E$10/'AR sim'!$D$42,"")</f>
        <v>0.96822981366459626</v>
      </c>
      <c r="E54" s="88">
        <f t="shared" si="7"/>
        <v>0.95</v>
      </c>
      <c r="F54" s="87">
        <f>IF($L$10=1, IF($K$10="R",VLOOKUP($A54,dichroic!$F$5:$H$1232,3),VLOOKUP($A54,dichroic!$F$5:$H$1232,2)),1)</f>
        <v>1</v>
      </c>
      <c r="G54" s="83">
        <f t="shared" si="5"/>
        <v>0.87263400718657558</v>
      </c>
      <c r="H54" s="83">
        <f t="shared" si="6"/>
        <v>0.93788371532881976</v>
      </c>
      <c r="I54" s="83">
        <f t="shared" si="0"/>
        <v>0.95</v>
      </c>
      <c r="J54" s="89">
        <f t="shared" si="1"/>
        <v>0.98</v>
      </c>
      <c r="K54" s="46">
        <f>VLOOKUP($A54,'SWIR data'!$A$5:$K$795,11)/100</f>
        <v>0.91700512221599983</v>
      </c>
      <c r="L54" s="90">
        <f t="shared" si="12"/>
        <v>2.6410594542611441</v>
      </c>
      <c r="N54" s="6">
        <f t="shared" si="3"/>
        <v>1.0000000000000007</v>
      </c>
    </row>
    <row r="55" spans="1:14" ht="19.5" customHeight="1">
      <c r="A55" s="80" t="s">
        <v>335</v>
      </c>
      <c r="B55" s="81">
        <f>AVERAGE(B13:B54)</f>
        <v>0.97881560685551927</v>
      </c>
      <c r="C55" s="81"/>
      <c r="D55" s="81">
        <f t="shared" ref="D55:E55" si="13">AVERAGE(D13:D54)</f>
        <v>0.98309372227151726</v>
      </c>
      <c r="E55" s="81">
        <f t="shared" si="13"/>
        <v>0.95000000000000018</v>
      </c>
      <c r="F55" s="81"/>
      <c r="G55" s="81">
        <f t="shared" ref="G55" si="14">AVERAGE(G13:G54)</f>
        <v>0.8536148420095454</v>
      </c>
      <c r="H55" s="81">
        <f t="shared" ref="H55" si="15">AVERAGE(H13:H54)</f>
        <v>0.9263159404063811</v>
      </c>
      <c r="I55" s="81">
        <f t="shared" ref="I55" si="16">AVERAGE(I13:I54)</f>
        <v>0.95000000000000018</v>
      </c>
      <c r="J55" s="81">
        <f t="shared" ref="J55" si="17">AVERAGE(J13:J54)</f>
        <v>0.97999999999999954</v>
      </c>
      <c r="K55" s="81">
        <f t="shared" ref="K55" si="18">AVERAGE(K13:K54)</f>
        <v>0.81754391686392813</v>
      </c>
      <c r="L55" s="81">
        <f t="shared" ref="L55" si="19">AVERAGE(L13:L54)</f>
        <v>2.306021635327864</v>
      </c>
      <c r="N55" s="6"/>
    </row>
    <row r="56" spans="1:14" ht="15">
      <c r="A56" s="82" t="s">
        <v>370</v>
      </c>
      <c r="B56" s="83">
        <f>STDEV(B13:B54)</f>
        <v>2.7692219791570476E-3</v>
      </c>
      <c r="C56" s="83"/>
      <c r="D56" s="83">
        <f t="shared" ref="D56:E56" si="20">STDEV(D13:D54)</f>
        <v>8.6265400976129544E-3</v>
      </c>
      <c r="E56" s="83">
        <f t="shared" si="20"/>
        <v>1.8617363201213607E-8</v>
      </c>
      <c r="F56" s="83"/>
      <c r="G56" s="83">
        <f t="shared" ref="G56:L56" si="21">STDEV(G13:G54)</f>
        <v>1.2069301683195222E-2</v>
      </c>
      <c r="H56" s="83">
        <f t="shared" si="21"/>
        <v>1.1203892582332691E-2</v>
      </c>
      <c r="I56" s="83">
        <f t="shared" si="21"/>
        <v>1.8617363201213607E-8</v>
      </c>
      <c r="J56" s="83">
        <f t="shared" si="21"/>
        <v>2.9436635871219325E-8</v>
      </c>
      <c r="K56" s="83">
        <f t="shared" si="21"/>
        <v>8.4583204753572769E-2</v>
      </c>
      <c r="L56" s="83">
        <f t="shared" si="21"/>
        <v>0.26606505781508993</v>
      </c>
      <c r="N56" s="6"/>
    </row>
    <row r="57" spans="1:14" ht="15">
      <c r="A57" s="82" t="s">
        <v>336</v>
      </c>
      <c r="B57" s="83">
        <f>MIN(B13:B54)</f>
        <v>0.97467746963181823</v>
      </c>
      <c r="C57" s="83"/>
      <c r="D57" s="83">
        <f t="shared" ref="D57:E57" si="22">MIN(D13:D54)</f>
        <v>0.9555217391304347</v>
      </c>
      <c r="E57" s="83">
        <f t="shared" si="22"/>
        <v>0.95</v>
      </c>
      <c r="F57" s="83"/>
      <c r="G57" s="83">
        <f t="shared" ref="G57:L57" si="23">MIN(G13:G54)</f>
        <v>0.83565735710962652</v>
      </c>
      <c r="H57" s="83">
        <f t="shared" si="23"/>
        <v>0.88935365587062132</v>
      </c>
      <c r="I57" s="83">
        <f t="shared" si="23"/>
        <v>0.95</v>
      </c>
      <c r="J57" s="83">
        <f t="shared" si="23"/>
        <v>0.98</v>
      </c>
      <c r="K57" s="83">
        <f t="shared" si="23"/>
        <v>0.7</v>
      </c>
      <c r="L57" s="83">
        <f t="shared" si="23"/>
        <v>1.9321652433016976</v>
      </c>
      <c r="N57" s="6"/>
    </row>
    <row r="58" spans="1:14" ht="15">
      <c r="A58" s="82" t="s">
        <v>337</v>
      </c>
      <c r="B58" s="83">
        <f>MAX(B13:B54)</f>
        <v>0.98315435132727291</v>
      </c>
      <c r="C58" s="83"/>
      <c r="D58" s="83">
        <f t="shared" ref="D58:E58" si="24">MAX(D13:D54)</f>
        <v>0.99046894409937902</v>
      </c>
      <c r="E58" s="83">
        <f t="shared" si="24"/>
        <v>0.95</v>
      </c>
      <c r="F58" s="83"/>
      <c r="G58" s="83">
        <f t="shared" ref="G58:L58" si="25">MAX(G13:G54)</f>
        <v>0.87263400718657558</v>
      </c>
      <c r="H58" s="83">
        <f t="shared" si="25"/>
        <v>0.93788371532881976</v>
      </c>
      <c r="I58" s="83">
        <f t="shared" si="25"/>
        <v>0.95</v>
      </c>
      <c r="J58" s="83">
        <f t="shared" si="25"/>
        <v>0.98</v>
      </c>
      <c r="K58" s="83">
        <f t="shared" si="25"/>
        <v>0.91700512221599983</v>
      </c>
      <c r="L58" s="83">
        <f t="shared" si="25"/>
        <v>2.6410594542611441</v>
      </c>
      <c r="N58" s="6"/>
    </row>
    <row r="59" spans="1:14">
      <c r="L59" s="5"/>
      <c r="M59" s="5"/>
    </row>
    <row r="60" spans="1:14">
      <c r="G60" s="6"/>
      <c r="H60" s="6"/>
      <c r="I60" s="6"/>
      <c r="J60" s="6"/>
      <c r="L60" s="7"/>
      <c r="M60" s="7"/>
    </row>
    <row r="61" spans="1:14">
      <c r="E61" s="6"/>
      <c r="F61" s="6"/>
      <c r="G61" s="6"/>
      <c r="H61" s="6"/>
      <c r="I61" s="6"/>
      <c r="J61" s="6"/>
      <c r="L61" s="7"/>
      <c r="M61" s="7"/>
    </row>
  </sheetData>
  <mergeCells count="12">
    <mergeCell ref="A10:B10"/>
    <mergeCell ref="A11:D11"/>
    <mergeCell ref="H6:K6"/>
    <mergeCell ref="H7:K7"/>
    <mergeCell ref="H8:K8"/>
    <mergeCell ref="A9:B9"/>
    <mergeCell ref="H9:J9"/>
    <mergeCell ref="I1:J1"/>
    <mergeCell ref="H3:J3"/>
    <mergeCell ref="H4:K4"/>
    <mergeCell ref="A5:B5"/>
    <mergeCell ref="H5:K5"/>
  </mergeCells>
  <phoneticPr fontId="26" type="noConversion"/>
  <printOptions gridLines="1"/>
  <pageMargins left="0.24" right="0.19" top="0.62" bottom="0.7" header="0.5" footer="0.5"/>
  <headerFooter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5" enableFormatConditionsCalculation="0"/>
  <dimension ref="A1:U34"/>
  <sheetViews>
    <sheetView workbookViewId="0">
      <selection activeCell="A13" sqref="A13"/>
    </sheetView>
  </sheetViews>
  <sheetFormatPr baseColWidth="10" defaultColWidth="10.6640625" defaultRowHeight="12"/>
  <cols>
    <col min="1" max="1" width="16.6640625" style="50" customWidth="1"/>
    <col min="2" max="16384" width="10.6640625" style="50"/>
  </cols>
  <sheetData>
    <row r="1" spans="1:21">
      <c r="A1" s="55" t="s">
        <v>260</v>
      </c>
      <c r="C1" s="55" t="s">
        <v>261</v>
      </c>
    </row>
    <row r="2" spans="1:21">
      <c r="A2" s="50" t="s">
        <v>252</v>
      </c>
    </row>
    <row r="3" spans="1:21" ht="13" thickBot="1">
      <c r="A3" s="51" t="s">
        <v>253</v>
      </c>
    </row>
    <row r="4" spans="1:21" ht="13.5" customHeight="1" thickTop="1">
      <c r="A4" s="51"/>
      <c r="B4" s="52" t="s">
        <v>262</v>
      </c>
      <c r="C4" s="52" t="s">
        <v>263</v>
      </c>
      <c r="D4" s="52" t="s">
        <v>264</v>
      </c>
      <c r="E4" s="52" t="s">
        <v>265</v>
      </c>
      <c r="F4" s="52" t="s">
        <v>266</v>
      </c>
      <c r="G4" s="52" t="s">
        <v>267</v>
      </c>
      <c r="H4" s="52" t="s">
        <v>268</v>
      </c>
      <c r="I4" s="52" t="s">
        <v>269</v>
      </c>
      <c r="J4" s="55" t="s">
        <v>239</v>
      </c>
      <c r="K4" s="53" t="s">
        <v>240</v>
      </c>
      <c r="L4" s="59" t="s">
        <v>166</v>
      </c>
      <c r="M4" s="59" t="s">
        <v>167</v>
      </c>
      <c r="N4" s="59" t="s">
        <v>168</v>
      </c>
      <c r="O4" s="59" t="s">
        <v>169</v>
      </c>
      <c r="P4" s="59" t="s">
        <v>170</v>
      </c>
      <c r="Q4" s="59" t="s">
        <v>171</v>
      </c>
      <c r="R4" s="59" t="s">
        <v>172</v>
      </c>
      <c r="S4" s="59" t="s">
        <v>173</v>
      </c>
      <c r="T4" s="59" t="s">
        <v>174</v>
      </c>
      <c r="U4" s="60" t="s">
        <v>175</v>
      </c>
    </row>
    <row r="5" spans="1:21">
      <c r="A5" s="51" t="s">
        <v>336</v>
      </c>
      <c r="B5" s="51">
        <v>380</v>
      </c>
      <c r="C5" s="51">
        <v>414</v>
      </c>
      <c r="D5" s="51">
        <v>498</v>
      </c>
      <c r="E5" s="51">
        <v>600</v>
      </c>
      <c r="F5" s="51">
        <v>720</v>
      </c>
      <c r="G5" s="51">
        <v>867</v>
      </c>
      <c r="H5" s="51">
        <v>1040</v>
      </c>
      <c r="I5" s="51">
        <v>1250</v>
      </c>
      <c r="J5" s="50">
        <v>0.9</v>
      </c>
      <c r="K5" s="50">
        <v>1100</v>
      </c>
      <c r="L5" s="62">
        <f>L7*(1-1/2/L9)</f>
        <v>0.38008383233532939</v>
      </c>
      <c r="M5" s="61"/>
      <c r="N5" s="61"/>
      <c r="O5" s="61"/>
      <c r="P5" s="61"/>
      <c r="Q5" s="61"/>
      <c r="R5" s="61"/>
      <c r="S5" s="61"/>
      <c r="T5" s="61"/>
      <c r="U5" s="61"/>
    </row>
    <row r="6" spans="1:21">
      <c r="A6" s="51" t="s">
        <v>337</v>
      </c>
      <c r="B6" s="51">
        <v>465</v>
      </c>
      <c r="C6" s="51">
        <v>560</v>
      </c>
      <c r="D6" s="51">
        <v>673</v>
      </c>
      <c r="E6" s="51">
        <v>810</v>
      </c>
      <c r="F6" s="51">
        <v>975</v>
      </c>
      <c r="G6" s="51">
        <v>1170</v>
      </c>
      <c r="H6" s="51">
        <v>1410</v>
      </c>
      <c r="I6" s="51">
        <v>1700</v>
      </c>
      <c r="J6" s="50">
        <v>2</v>
      </c>
      <c r="K6" s="50">
        <v>2000</v>
      </c>
    </row>
    <row r="7" spans="1:21" ht="13" thickBot="1">
      <c r="A7" s="51" t="s">
        <v>254</v>
      </c>
      <c r="B7" s="51">
        <f t="shared" ref="B7:J7" si="0">0.5*(B6+B5)</f>
        <v>422.5</v>
      </c>
      <c r="C7" s="51">
        <f t="shared" si="0"/>
        <v>487</v>
      </c>
      <c r="D7" s="51">
        <f t="shared" si="0"/>
        <v>585.5</v>
      </c>
      <c r="E7" s="51">
        <f t="shared" si="0"/>
        <v>705</v>
      </c>
      <c r="F7" s="51">
        <f t="shared" si="0"/>
        <v>847.5</v>
      </c>
      <c r="G7" s="51">
        <f t="shared" si="0"/>
        <v>1018.5</v>
      </c>
      <c r="H7" s="51">
        <f t="shared" si="0"/>
        <v>1225</v>
      </c>
      <c r="I7" s="51">
        <f t="shared" si="0"/>
        <v>1475</v>
      </c>
      <c r="J7" s="51">
        <f t="shared" si="0"/>
        <v>1.45</v>
      </c>
      <c r="K7" s="51">
        <f>0.5*(K6+K5)</f>
        <v>1550</v>
      </c>
      <c r="L7" s="56">
        <v>0.44700000000000001</v>
      </c>
      <c r="M7" s="57">
        <v>0.52</v>
      </c>
      <c r="N7" s="57">
        <v>0.60499999999999998</v>
      </c>
      <c r="O7" s="57">
        <v>0.70299999999999996</v>
      </c>
      <c r="P7" s="57">
        <v>0.81799999999999995</v>
      </c>
      <c r="Q7" s="56">
        <v>0.95099999999999996</v>
      </c>
      <c r="R7" s="57">
        <v>1.1060000000000001</v>
      </c>
      <c r="S7" s="57">
        <v>1.286</v>
      </c>
      <c r="T7" s="57">
        <v>1.496</v>
      </c>
      <c r="U7" s="58">
        <v>1.7390000000000001</v>
      </c>
    </row>
    <row r="8" spans="1:21">
      <c r="A8" s="51" t="s">
        <v>255</v>
      </c>
      <c r="B8" s="51">
        <f t="shared" ref="B8:J8" si="1">B6-B5</f>
        <v>85</v>
      </c>
      <c r="C8" s="51">
        <f t="shared" si="1"/>
        <v>146</v>
      </c>
      <c r="D8" s="51">
        <f t="shared" si="1"/>
        <v>175</v>
      </c>
      <c r="E8" s="51">
        <f t="shared" si="1"/>
        <v>210</v>
      </c>
      <c r="F8" s="51">
        <f t="shared" si="1"/>
        <v>255</v>
      </c>
      <c r="G8" s="51">
        <f t="shared" si="1"/>
        <v>303</v>
      </c>
      <c r="H8" s="51">
        <f t="shared" si="1"/>
        <v>370</v>
      </c>
      <c r="I8" s="51">
        <f t="shared" si="1"/>
        <v>450</v>
      </c>
      <c r="J8" s="51">
        <f t="shared" si="1"/>
        <v>1.1000000000000001</v>
      </c>
      <c r="K8" s="51">
        <f>K6-K5</f>
        <v>900</v>
      </c>
    </row>
    <row r="9" spans="1:21" ht="13" thickBot="1">
      <c r="A9" s="51" t="s">
        <v>256</v>
      </c>
      <c r="B9" s="54">
        <f t="shared" ref="B9:J9" si="2">B7/B8</f>
        <v>4.9705882352941178</v>
      </c>
      <c r="C9" s="54">
        <f t="shared" si="2"/>
        <v>3.3356164383561642</v>
      </c>
      <c r="D9" s="54">
        <f t="shared" si="2"/>
        <v>3.3457142857142856</v>
      </c>
      <c r="E9" s="54">
        <f t="shared" si="2"/>
        <v>3.3571428571428572</v>
      </c>
      <c r="F9" s="54">
        <f t="shared" si="2"/>
        <v>3.3235294117647061</v>
      </c>
      <c r="G9" s="54">
        <f t="shared" si="2"/>
        <v>3.3613861386138613</v>
      </c>
      <c r="H9" s="54">
        <f t="shared" si="2"/>
        <v>3.310810810810811</v>
      </c>
      <c r="I9" s="54">
        <f t="shared" si="2"/>
        <v>3.2777777777777777</v>
      </c>
      <c r="J9" s="54">
        <f t="shared" si="2"/>
        <v>1.3181818181818181</v>
      </c>
      <c r="K9" s="54">
        <f>K7/K8</f>
        <v>1.7222222222222223</v>
      </c>
      <c r="L9" s="56">
        <v>3.34</v>
      </c>
      <c r="M9" s="57">
        <v>3.34</v>
      </c>
      <c r="N9" s="57">
        <v>3.34</v>
      </c>
      <c r="O9" s="57">
        <v>3.34</v>
      </c>
      <c r="P9" s="57">
        <v>3.34</v>
      </c>
      <c r="Q9" s="56">
        <v>3.34</v>
      </c>
      <c r="R9" s="57">
        <v>3.34</v>
      </c>
      <c r="S9" s="57">
        <v>3.34</v>
      </c>
      <c r="T9" s="57">
        <v>3.34</v>
      </c>
      <c r="U9" s="58">
        <v>3.34</v>
      </c>
    </row>
    <row r="10" spans="1:21">
      <c r="A10" s="51" t="s">
        <v>257</v>
      </c>
      <c r="B10" s="52" t="s">
        <v>258</v>
      </c>
      <c r="C10" s="52" t="s">
        <v>258</v>
      </c>
      <c r="D10" s="52" t="s">
        <v>259</v>
      </c>
      <c r="E10" s="52" t="s">
        <v>259</v>
      </c>
      <c r="F10" s="52" t="s">
        <v>259</v>
      </c>
      <c r="G10" s="52" t="s">
        <v>258</v>
      </c>
      <c r="H10" s="52" t="s">
        <v>258</v>
      </c>
      <c r="I10" s="52" t="s">
        <v>258</v>
      </c>
      <c r="J10" s="52" t="s">
        <v>258</v>
      </c>
      <c r="K10" s="52" t="s">
        <v>258</v>
      </c>
    </row>
    <row r="12" spans="1:21">
      <c r="A12" s="55" t="s">
        <v>179</v>
      </c>
    </row>
    <row r="13" spans="1:21">
      <c r="A13" s="55"/>
    </row>
    <row r="14" spans="1:21">
      <c r="A14" s="67" t="s">
        <v>176</v>
      </c>
      <c r="B14" s="66" t="s">
        <v>336</v>
      </c>
      <c r="C14" s="66" t="s">
        <v>337</v>
      </c>
      <c r="D14" s="66" t="s">
        <v>254</v>
      </c>
      <c r="E14" s="66" t="s">
        <v>255</v>
      </c>
      <c r="F14" s="66" t="s">
        <v>256</v>
      </c>
      <c r="G14" s="64" t="s">
        <v>257</v>
      </c>
      <c r="I14" s="55" t="s">
        <v>244</v>
      </c>
    </row>
    <row r="15" spans="1:21">
      <c r="A15" s="68" t="s">
        <v>239</v>
      </c>
      <c r="B15" s="72">
        <v>0.9</v>
      </c>
      <c r="C15" s="72">
        <v>2</v>
      </c>
      <c r="D15" s="66">
        <f>0.5*(C15+B15)</f>
        <v>1.45</v>
      </c>
      <c r="E15" s="66">
        <f t="shared" ref="E15:E34" si="3">C15-B15</f>
        <v>1.1000000000000001</v>
      </c>
      <c r="F15" s="69">
        <f>D15/E15</f>
        <v>1.3181818181818181</v>
      </c>
      <c r="G15" s="66" t="s">
        <v>258</v>
      </c>
      <c r="I15" s="55" t="s">
        <v>239</v>
      </c>
    </row>
    <row r="16" spans="1:21">
      <c r="A16" s="70" t="s">
        <v>240</v>
      </c>
      <c r="B16" s="72">
        <v>1.1000000000000001</v>
      </c>
      <c r="C16" s="72">
        <v>2</v>
      </c>
      <c r="D16" s="66">
        <f>0.5*(C16+B16)</f>
        <v>1.55</v>
      </c>
      <c r="E16" s="66">
        <f t="shared" si="3"/>
        <v>0.89999999999999991</v>
      </c>
      <c r="F16" s="69">
        <f>D16/E16</f>
        <v>1.7222222222222225</v>
      </c>
      <c r="G16" s="66" t="s">
        <v>258</v>
      </c>
      <c r="I16" s="55" t="s">
        <v>240</v>
      </c>
    </row>
    <row r="17" spans="1:9">
      <c r="A17" s="63" t="s">
        <v>166</v>
      </c>
      <c r="B17" s="65">
        <f t="shared" ref="B17:B26" si="4">$D17*(1-1/2/$F17)</f>
        <v>0.38008383233532939</v>
      </c>
      <c r="C17" s="65">
        <f t="shared" ref="C17:C26" si="5">$D17*(1+1/2/$F17)</f>
        <v>0.51391616766467063</v>
      </c>
      <c r="D17" s="71">
        <v>0.44700000000000001</v>
      </c>
      <c r="E17" s="72">
        <f t="shared" si="3"/>
        <v>0.13383233532934125</v>
      </c>
      <c r="F17" s="71">
        <v>3.34</v>
      </c>
      <c r="G17" s="64"/>
      <c r="I17" s="55" t="s">
        <v>177</v>
      </c>
    </row>
    <row r="18" spans="1:9">
      <c r="A18" s="63" t="s">
        <v>167</v>
      </c>
      <c r="B18" s="65">
        <f t="shared" si="4"/>
        <v>0.44215568862275451</v>
      </c>
      <c r="C18" s="65">
        <f t="shared" si="5"/>
        <v>0.59784431137724547</v>
      </c>
      <c r="D18" s="71">
        <v>0.52</v>
      </c>
      <c r="E18" s="72">
        <f t="shared" si="3"/>
        <v>0.15568862275449097</v>
      </c>
      <c r="F18" s="71">
        <v>3.34</v>
      </c>
      <c r="G18" s="64"/>
      <c r="I18" s="55" t="s">
        <v>177</v>
      </c>
    </row>
    <row r="19" spans="1:9">
      <c r="A19" s="63" t="s">
        <v>168</v>
      </c>
      <c r="B19" s="65">
        <f t="shared" si="4"/>
        <v>0.51443113772455096</v>
      </c>
      <c r="C19" s="65">
        <f t="shared" si="5"/>
        <v>0.69556886227544901</v>
      </c>
      <c r="D19" s="71">
        <v>0.60499999999999998</v>
      </c>
      <c r="E19" s="72">
        <f t="shared" si="3"/>
        <v>0.18113772455089805</v>
      </c>
      <c r="F19" s="71">
        <v>3.34</v>
      </c>
      <c r="G19" s="64"/>
      <c r="I19" s="55" t="s">
        <v>177</v>
      </c>
    </row>
    <row r="20" spans="1:9">
      <c r="A20" s="63" t="s">
        <v>169</v>
      </c>
      <c r="B20" s="65">
        <f t="shared" si="4"/>
        <v>0.5977604790419162</v>
      </c>
      <c r="C20" s="65">
        <f t="shared" si="5"/>
        <v>0.80823952095808371</v>
      </c>
      <c r="D20" s="71">
        <v>0.70299999999999996</v>
      </c>
      <c r="E20" s="72">
        <f t="shared" si="3"/>
        <v>0.21047904191616751</v>
      </c>
      <c r="F20" s="71">
        <v>3.34</v>
      </c>
      <c r="G20" s="64"/>
      <c r="I20" s="55" t="s">
        <v>177</v>
      </c>
    </row>
    <row r="21" spans="1:9">
      <c r="A21" s="63" t="s">
        <v>170</v>
      </c>
      <c r="B21" s="65">
        <f t="shared" si="4"/>
        <v>0.69554491017964071</v>
      </c>
      <c r="C21" s="65">
        <f t="shared" si="5"/>
        <v>0.94045508982035919</v>
      </c>
      <c r="D21" s="71">
        <v>0.81799999999999995</v>
      </c>
      <c r="E21" s="72">
        <f t="shared" si="3"/>
        <v>0.24491017964071848</v>
      </c>
      <c r="F21" s="71">
        <v>3.34</v>
      </c>
      <c r="G21" s="64"/>
      <c r="I21" s="55" t="s">
        <v>177</v>
      </c>
    </row>
    <row r="22" spans="1:9">
      <c r="A22" s="63" t="s">
        <v>171</v>
      </c>
      <c r="B22" s="65">
        <f t="shared" si="4"/>
        <v>0.80863473053892221</v>
      </c>
      <c r="C22" s="65">
        <f t="shared" si="5"/>
        <v>1.0933652694610778</v>
      </c>
      <c r="D22" s="71">
        <v>0.95099999999999996</v>
      </c>
      <c r="E22" s="72">
        <f t="shared" si="3"/>
        <v>0.28473053892215561</v>
      </c>
      <c r="F22" s="71">
        <v>3.34</v>
      </c>
      <c r="G22" s="64"/>
      <c r="I22" s="55" t="s">
        <v>178</v>
      </c>
    </row>
    <row r="23" spans="1:9">
      <c r="A23" s="63" t="s">
        <v>172</v>
      </c>
      <c r="B23" s="65">
        <f t="shared" si="4"/>
        <v>0.940431137724551</v>
      </c>
      <c r="C23" s="65">
        <f t="shared" si="5"/>
        <v>1.2715688622754491</v>
      </c>
      <c r="D23" s="71">
        <v>1.1060000000000001</v>
      </c>
      <c r="E23" s="72">
        <f t="shared" si="3"/>
        <v>0.33113772455089807</v>
      </c>
      <c r="F23" s="71">
        <v>3.34</v>
      </c>
      <c r="G23" s="64"/>
      <c r="I23" s="55" t="s">
        <v>239</v>
      </c>
    </row>
    <row r="24" spans="1:9">
      <c r="A24" s="63" t="s">
        <v>173</v>
      </c>
      <c r="B24" s="65">
        <f t="shared" si="4"/>
        <v>1.0934850299401198</v>
      </c>
      <c r="C24" s="65">
        <f t="shared" si="5"/>
        <v>1.4785149700598803</v>
      </c>
      <c r="D24" s="71">
        <v>1.286</v>
      </c>
      <c r="E24" s="72">
        <f t="shared" si="3"/>
        <v>0.38502994011976055</v>
      </c>
      <c r="F24" s="71">
        <v>3.34</v>
      </c>
      <c r="G24" s="64"/>
      <c r="I24" s="55" t="s">
        <v>239</v>
      </c>
    </row>
    <row r="25" spans="1:9">
      <c r="A25" s="63" t="s">
        <v>174</v>
      </c>
      <c r="B25" s="65">
        <f t="shared" si="4"/>
        <v>1.2720479041916168</v>
      </c>
      <c r="C25" s="65">
        <f t="shared" si="5"/>
        <v>1.7199520958083832</v>
      </c>
      <c r="D25" s="71">
        <v>1.496</v>
      </c>
      <c r="E25" s="72">
        <f t="shared" si="3"/>
        <v>0.44790419161676631</v>
      </c>
      <c r="F25" s="71">
        <v>3.34</v>
      </c>
      <c r="G25" s="64"/>
      <c r="I25" s="55" t="s">
        <v>239</v>
      </c>
    </row>
    <row r="26" spans="1:9">
      <c r="A26" s="63" t="s">
        <v>175</v>
      </c>
      <c r="B26" s="65">
        <f t="shared" si="4"/>
        <v>1.4786706586826348</v>
      </c>
      <c r="C26" s="65">
        <f t="shared" si="5"/>
        <v>1.9993293413173654</v>
      </c>
      <c r="D26" s="71">
        <v>1.7390000000000001</v>
      </c>
      <c r="E26" s="72">
        <f t="shared" si="3"/>
        <v>0.52065868263473059</v>
      </c>
      <c r="F26" s="71">
        <v>3.34</v>
      </c>
      <c r="G26" s="64"/>
      <c r="I26" s="55" t="s">
        <v>239</v>
      </c>
    </row>
    <row r="27" spans="1:9">
      <c r="A27" s="73" t="s">
        <v>262</v>
      </c>
      <c r="B27" s="72">
        <v>0.38</v>
      </c>
      <c r="C27" s="72">
        <v>0.46500000000000002</v>
      </c>
      <c r="D27" s="66">
        <v>0.42249999999999999</v>
      </c>
      <c r="E27" s="66">
        <f t="shared" si="3"/>
        <v>8.500000000000002E-2</v>
      </c>
      <c r="F27" s="69">
        <f t="shared" ref="F27:F34" si="6">D27/E27</f>
        <v>4.970588235294116</v>
      </c>
      <c r="G27" s="66" t="s">
        <v>258</v>
      </c>
      <c r="I27" s="55" t="s">
        <v>177</v>
      </c>
    </row>
    <row r="28" spans="1:9">
      <c r="A28" s="73" t="s">
        <v>263</v>
      </c>
      <c r="B28" s="72">
        <v>0.41399999999999998</v>
      </c>
      <c r="C28" s="72">
        <v>0.56000000000000005</v>
      </c>
      <c r="D28" s="66">
        <v>0.48699999999999999</v>
      </c>
      <c r="E28" s="66">
        <f t="shared" si="3"/>
        <v>0.14600000000000007</v>
      </c>
      <c r="F28" s="69">
        <f t="shared" si="6"/>
        <v>3.3356164383561624</v>
      </c>
      <c r="G28" s="66" t="s">
        <v>258</v>
      </c>
      <c r="I28" s="55" t="s">
        <v>177</v>
      </c>
    </row>
    <row r="29" spans="1:9">
      <c r="A29" s="73" t="s">
        <v>264</v>
      </c>
      <c r="B29" s="72">
        <v>0.498</v>
      </c>
      <c r="C29" s="72">
        <v>0.67300000000000004</v>
      </c>
      <c r="D29" s="66">
        <v>0.58550000000000002</v>
      </c>
      <c r="E29" s="66">
        <f t="shared" si="3"/>
        <v>0.17500000000000004</v>
      </c>
      <c r="F29" s="69">
        <f t="shared" si="6"/>
        <v>3.3457142857142852</v>
      </c>
      <c r="G29" s="66" t="s">
        <v>259</v>
      </c>
      <c r="I29" s="55" t="s">
        <v>177</v>
      </c>
    </row>
    <row r="30" spans="1:9">
      <c r="A30" s="73" t="s">
        <v>265</v>
      </c>
      <c r="B30" s="72">
        <v>0.6</v>
      </c>
      <c r="C30" s="72">
        <v>0.81</v>
      </c>
      <c r="D30" s="66">
        <v>0.70499999999999996</v>
      </c>
      <c r="E30" s="66">
        <f t="shared" si="3"/>
        <v>0.21000000000000008</v>
      </c>
      <c r="F30" s="69">
        <f t="shared" si="6"/>
        <v>3.3571428571428559</v>
      </c>
      <c r="G30" s="66" t="s">
        <v>259</v>
      </c>
      <c r="I30" s="55" t="s">
        <v>177</v>
      </c>
    </row>
    <row r="31" spans="1:9">
      <c r="A31" s="73" t="s">
        <v>266</v>
      </c>
      <c r="B31" s="72">
        <v>0.72</v>
      </c>
      <c r="C31" s="72">
        <v>0.97499999999999998</v>
      </c>
      <c r="D31" s="66">
        <v>0.84750000000000003</v>
      </c>
      <c r="E31" s="66">
        <f t="shared" si="3"/>
        <v>0.255</v>
      </c>
      <c r="F31" s="69">
        <f t="shared" si="6"/>
        <v>3.3235294117647061</v>
      </c>
      <c r="G31" s="66" t="s">
        <v>259</v>
      </c>
      <c r="I31" s="55" t="s">
        <v>177</v>
      </c>
    </row>
    <row r="32" spans="1:9">
      <c r="A32" s="73" t="s">
        <v>267</v>
      </c>
      <c r="B32" s="72">
        <v>0.86699999999999999</v>
      </c>
      <c r="C32" s="72">
        <v>1.17</v>
      </c>
      <c r="D32" s="66">
        <v>1.0185</v>
      </c>
      <c r="E32" s="66">
        <f t="shared" si="3"/>
        <v>0.30299999999999994</v>
      </c>
      <c r="F32" s="69">
        <f t="shared" si="6"/>
        <v>3.3613861386138622</v>
      </c>
      <c r="G32" s="66" t="s">
        <v>258</v>
      </c>
      <c r="I32" s="55" t="s">
        <v>178</v>
      </c>
    </row>
    <row r="33" spans="1:9">
      <c r="A33" s="73" t="s">
        <v>268</v>
      </c>
      <c r="B33" s="72">
        <v>1.04</v>
      </c>
      <c r="C33" s="72">
        <v>1.41</v>
      </c>
      <c r="D33" s="66">
        <v>1.2250000000000001</v>
      </c>
      <c r="E33" s="66">
        <f t="shared" si="3"/>
        <v>0.36999999999999988</v>
      </c>
      <c r="F33" s="69">
        <f t="shared" si="6"/>
        <v>3.3108108108108123</v>
      </c>
      <c r="G33" s="66" t="s">
        <v>258</v>
      </c>
      <c r="I33" s="55" t="s">
        <v>239</v>
      </c>
    </row>
    <row r="34" spans="1:9">
      <c r="A34" s="73" t="s">
        <v>269</v>
      </c>
      <c r="B34" s="72">
        <v>1.25</v>
      </c>
      <c r="C34" s="72">
        <v>1.7</v>
      </c>
      <c r="D34" s="66">
        <v>1.4750000000000001</v>
      </c>
      <c r="E34" s="66">
        <f t="shared" si="3"/>
        <v>0.44999999999999996</v>
      </c>
      <c r="F34" s="69">
        <f t="shared" si="6"/>
        <v>3.2777777777777781</v>
      </c>
      <c r="G34" s="66" t="s">
        <v>258</v>
      </c>
      <c r="I34" s="55" t="s">
        <v>239</v>
      </c>
    </row>
  </sheetData>
  <phoneticPr fontId="12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6" enableFormatConditionsCalculation="0"/>
  <dimension ref="A2:J1232"/>
  <sheetViews>
    <sheetView topLeftCell="E1" workbookViewId="0">
      <selection activeCell="AA471" sqref="AA471"/>
    </sheetView>
  </sheetViews>
  <sheetFormatPr baseColWidth="10" defaultColWidth="8.83203125" defaultRowHeight="12"/>
  <sheetData>
    <row r="2" spans="1:10">
      <c r="F2" t="s">
        <v>184</v>
      </c>
      <c r="I2" t="s">
        <v>187</v>
      </c>
      <c r="J2">
        <v>0.96</v>
      </c>
    </row>
    <row r="3" spans="1:10">
      <c r="A3" t="s">
        <v>182</v>
      </c>
      <c r="F3">
        <v>-0.30599999999999999</v>
      </c>
    </row>
    <row r="4" spans="1:10" ht="24">
      <c r="A4" s="5" t="s">
        <v>185</v>
      </c>
      <c r="B4" s="5" t="s">
        <v>186</v>
      </c>
      <c r="C4" s="5"/>
      <c r="D4" s="5"/>
      <c r="E4" s="5"/>
      <c r="F4" s="5" t="s">
        <v>185</v>
      </c>
      <c r="G4" s="5" t="s">
        <v>354</v>
      </c>
      <c r="H4" s="5" t="s">
        <v>194</v>
      </c>
    </row>
    <row r="5" spans="1:10">
      <c r="A5" s="74">
        <v>1.2216783216783216</v>
      </c>
      <c r="B5" s="75">
        <v>4.4399480999999998E-4</v>
      </c>
      <c r="E5" s="6"/>
      <c r="F5">
        <v>0.2</v>
      </c>
      <c r="G5">
        <v>0</v>
      </c>
      <c r="H5">
        <v>0.10654663975000001</v>
      </c>
    </row>
    <row r="6" spans="1:10">
      <c r="A6" s="74">
        <v>1.2229020979020977</v>
      </c>
      <c r="B6" s="75">
        <v>2.1857486999999999E-4</v>
      </c>
      <c r="E6" s="6"/>
      <c r="F6">
        <v>0.20200000000000001</v>
      </c>
      <c r="G6">
        <v>0</v>
      </c>
      <c r="H6">
        <v>0.11703004929999999</v>
      </c>
    </row>
    <row r="7" spans="1:10">
      <c r="A7" s="74">
        <v>1.2241258741258738</v>
      </c>
      <c r="B7" s="75">
        <v>2.1468037400000002E-3</v>
      </c>
      <c r="E7" s="6"/>
      <c r="F7">
        <v>0.20399999999999999</v>
      </c>
      <c r="G7">
        <v>0</v>
      </c>
      <c r="H7">
        <v>0.1045573263</v>
      </c>
    </row>
    <row r="8" spans="1:10">
      <c r="A8" s="74">
        <v>1.2253496503496504</v>
      </c>
      <c r="B8" s="75">
        <v>1.0218059999999999E-3</v>
      </c>
      <c r="E8" s="6"/>
      <c r="F8">
        <v>0.20599999999999999</v>
      </c>
      <c r="G8">
        <v>0</v>
      </c>
      <c r="H8">
        <v>0.10417105735</v>
      </c>
    </row>
    <row r="9" spans="1:10">
      <c r="A9" s="74">
        <v>1.2265734265734265</v>
      </c>
      <c r="B9" s="75">
        <v>2.7176019600000001E-3</v>
      </c>
      <c r="E9" s="6"/>
      <c r="F9">
        <v>0.20799999999999999</v>
      </c>
      <c r="G9">
        <v>0</v>
      </c>
      <c r="H9">
        <v>8.5538697300000008E-2</v>
      </c>
    </row>
    <row r="10" spans="1:10">
      <c r="A10" s="74">
        <v>1.2277972027972026</v>
      </c>
      <c r="B10" s="75">
        <v>9.0263604999999997E-4</v>
      </c>
      <c r="E10" s="6"/>
      <c r="F10">
        <v>0.21</v>
      </c>
      <c r="G10">
        <v>0</v>
      </c>
      <c r="H10">
        <v>7.199597934090908E-2</v>
      </c>
    </row>
    <row r="11" spans="1:10">
      <c r="A11" s="74">
        <v>1.2290209790209787</v>
      </c>
      <c r="B11" s="75">
        <v>1.9307576100000001E-3</v>
      </c>
      <c r="E11" s="6"/>
      <c r="F11">
        <v>0.21199999999999999</v>
      </c>
      <c r="G11">
        <v>0</v>
      </c>
      <c r="H11">
        <v>7.5620512877272741E-2</v>
      </c>
    </row>
    <row r="12" spans="1:10">
      <c r="A12" s="74">
        <v>1.2302447552447553</v>
      </c>
      <c r="B12" s="75">
        <v>2.7056017500000002E-3</v>
      </c>
      <c r="E12" s="6"/>
      <c r="F12">
        <v>0.214</v>
      </c>
      <c r="G12">
        <v>0</v>
      </c>
      <c r="H12">
        <v>8.1842951613636375E-2</v>
      </c>
    </row>
    <row r="13" spans="1:10">
      <c r="A13" s="74">
        <v>1.2314685314685314</v>
      </c>
      <c r="B13" s="75">
        <v>1.0207004099999999E-3</v>
      </c>
      <c r="E13" s="6"/>
      <c r="F13">
        <v>0.216</v>
      </c>
      <c r="G13">
        <v>0</v>
      </c>
      <c r="H13">
        <v>9.2145803940909085E-2</v>
      </c>
    </row>
    <row r="14" spans="1:10">
      <c r="A14" s="74">
        <v>1.2326923076923075</v>
      </c>
      <c r="B14" s="75">
        <v>3.29986334E-3</v>
      </c>
      <c r="E14" s="6"/>
      <c r="F14">
        <v>0.218</v>
      </c>
      <c r="G14">
        <v>0</v>
      </c>
      <c r="H14">
        <v>0.10583402979545455</v>
      </c>
    </row>
    <row r="15" spans="1:10">
      <c r="A15" s="74">
        <v>1.2339160839160837</v>
      </c>
      <c r="B15" s="75">
        <v>2.2589194800000001E-3</v>
      </c>
      <c r="E15" s="6"/>
      <c r="F15">
        <v>0.22</v>
      </c>
      <c r="G15">
        <v>0</v>
      </c>
      <c r="H15">
        <v>0.12395837540909092</v>
      </c>
    </row>
    <row r="16" spans="1:10">
      <c r="A16" s="74">
        <v>1.2351398601398602</v>
      </c>
      <c r="B16" s="75">
        <v>2.5071722299999997E-3</v>
      </c>
      <c r="E16" s="6"/>
      <c r="F16">
        <v>0.222</v>
      </c>
      <c r="G16">
        <v>0</v>
      </c>
      <c r="H16">
        <v>0.14500656741818183</v>
      </c>
    </row>
    <row r="17" spans="1:8">
      <c r="A17" s="74">
        <v>1.2363636363636363</v>
      </c>
      <c r="B17" s="75">
        <v>3.8737150999999998E-3</v>
      </c>
      <c r="E17" s="6"/>
      <c r="F17">
        <v>0.224</v>
      </c>
      <c r="G17">
        <v>0</v>
      </c>
      <c r="H17">
        <v>0.16779938066818181</v>
      </c>
    </row>
    <row r="18" spans="1:8">
      <c r="A18" s="74">
        <v>1.2375874125874124</v>
      </c>
      <c r="B18" s="75">
        <v>2.04985514E-3</v>
      </c>
      <c r="E18" s="6"/>
      <c r="F18">
        <v>0.22600000000000001</v>
      </c>
      <c r="G18">
        <v>0</v>
      </c>
      <c r="H18">
        <v>0.19067343566818182</v>
      </c>
    </row>
    <row r="19" spans="1:8">
      <c r="A19" s="74">
        <v>1.2388111888111886</v>
      </c>
      <c r="B19" s="75">
        <v>4.32429969E-3</v>
      </c>
      <c r="E19" s="6"/>
      <c r="F19">
        <v>0.22800000000000001</v>
      </c>
      <c r="G19">
        <v>0</v>
      </c>
      <c r="H19">
        <v>0.2129036659681818</v>
      </c>
    </row>
    <row r="20" spans="1:8">
      <c r="A20" s="74">
        <v>1.2400349650349651</v>
      </c>
      <c r="B20" s="75">
        <v>5.5742996899999994E-3</v>
      </c>
      <c r="E20" s="6"/>
      <c r="F20">
        <v>0.23</v>
      </c>
      <c r="G20">
        <v>0</v>
      </c>
      <c r="H20">
        <v>0.23371356723636361</v>
      </c>
    </row>
    <row r="21" spans="1:8">
      <c r="A21" s="74">
        <v>1.2412587412587412</v>
      </c>
      <c r="B21" s="75">
        <v>5.34216225E-3</v>
      </c>
      <c r="E21" s="6"/>
      <c r="F21">
        <v>0.23200000000000001</v>
      </c>
      <c r="G21">
        <v>0</v>
      </c>
      <c r="H21">
        <v>0.25269189149999999</v>
      </c>
    </row>
    <row r="22" spans="1:8">
      <c r="A22" s="74">
        <v>1.2424825174825174</v>
      </c>
      <c r="B22" s="75">
        <v>5.6832545999999998E-3</v>
      </c>
      <c r="E22" s="6"/>
      <c r="F22">
        <v>0.23400000000000001</v>
      </c>
      <c r="G22">
        <v>0</v>
      </c>
      <c r="H22">
        <v>0.2696080466045454</v>
      </c>
    </row>
    <row r="23" spans="1:8">
      <c r="A23" s="74">
        <v>1.2437062937062935</v>
      </c>
      <c r="B23" s="75">
        <v>6.6989684100000006E-3</v>
      </c>
      <c r="E23" s="6"/>
      <c r="F23">
        <v>0.23599999999999999</v>
      </c>
      <c r="G23">
        <v>0</v>
      </c>
      <c r="H23">
        <v>0.28428378734545456</v>
      </c>
    </row>
    <row r="24" spans="1:8">
      <c r="A24" s="74">
        <v>1.24493006993007</v>
      </c>
      <c r="B24" s="75">
        <v>7.9880559399999988E-3</v>
      </c>
      <c r="E24" s="6"/>
      <c r="F24">
        <v>0.23799999999999999</v>
      </c>
      <c r="G24">
        <v>0</v>
      </c>
      <c r="H24">
        <v>0.29674128503636366</v>
      </c>
    </row>
    <row r="25" spans="1:8">
      <c r="A25" s="74">
        <v>1.2461538461538462</v>
      </c>
      <c r="B25" s="75">
        <v>9.79833305E-3</v>
      </c>
      <c r="E25" s="6"/>
      <c r="F25">
        <v>0.24</v>
      </c>
      <c r="G25">
        <v>0</v>
      </c>
      <c r="H25">
        <v>0.30693716491363643</v>
      </c>
    </row>
    <row r="26" spans="1:8">
      <c r="A26" s="74">
        <v>1.2473776223776223</v>
      </c>
      <c r="B26" s="75">
        <v>9.7946226600000002E-3</v>
      </c>
      <c r="E26" s="6"/>
      <c r="F26">
        <v>0.24199999999999999</v>
      </c>
      <c r="G26">
        <v>0</v>
      </c>
      <c r="H26">
        <v>0.31495854465454548</v>
      </c>
    </row>
    <row r="27" spans="1:8">
      <c r="A27" s="76">
        <v>1.2486013986013984</v>
      </c>
      <c r="B27" s="77">
        <v>1.1663197279999999E-2</v>
      </c>
      <c r="E27" s="6"/>
      <c r="F27">
        <v>0.24399999999999999</v>
      </c>
      <c r="G27">
        <v>0</v>
      </c>
      <c r="H27">
        <v>0.32086479229090903</v>
      </c>
    </row>
    <row r="28" spans="1:8">
      <c r="A28" s="74">
        <v>1.249825174825175</v>
      </c>
      <c r="B28" s="75">
        <v>1.3324910400000001E-2</v>
      </c>
      <c r="E28" s="6"/>
      <c r="F28">
        <v>0.246</v>
      </c>
      <c r="G28">
        <v>0</v>
      </c>
      <c r="H28">
        <v>0.32477710063181819</v>
      </c>
    </row>
    <row r="29" spans="1:8">
      <c r="A29" s="74">
        <v>1.2510489510489511</v>
      </c>
      <c r="B29" s="75">
        <v>1.509473681E-2</v>
      </c>
      <c r="E29" s="6"/>
      <c r="F29">
        <v>0.248</v>
      </c>
      <c r="G29">
        <v>0</v>
      </c>
      <c r="H29">
        <v>0.32676848729999997</v>
      </c>
    </row>
    <row r="30" spans="1:8">
      <c r="A30" s="74">
        <v>1.2522727272727272</v>
      </c>
      <c r="B30" s="75">
        <v>1.7217215299999998E-2</v>
      </c>
      <c r="E30" s="6"/>
      <c r="F30">
        <v>0.25</v>
      </c>
      <c r="G30">
        <v>0</v>
      </c>
      <c r="H30">
        <v>0.32693556498636361</v>
      </c>
    </row>
    <row r="31" spans="1:8">
      <c r="A31" s="74">
        <v>1.2534965034965033</v>
      </c>
      <c r="B31" s="75">
        <v>2.083376646E-2</v>
      </c>
      <c r="E31" s="6"/>
      <c r="F31">
        <v>0.252</v>
      </c>
      <c r="G31">
        <v>0</v>
      </c>
      <c r="H31">
        <v>0.32530026349090913</v>
      </c>
    </row>
    <row r="32" spans="1:8">
      <c r="A32" s="74">
        <v>1.2547202797202799</v>
      </c>
      <c r="B32" s="75">
        <v>2.2838125229999999E-2</v>
      </c>
      <c r="E32" s="6"/>
      <c r="F32">
        <v>0.254</v>
      </c>
      <c r="G32">
        <v>0</v>
      </c>
      <c r="H32">
        <v>0.32207674028181821</v>
      </c>
    </row>
    <row r="33" spans="1:8">
      <c r="A33" s="74">
        <v>1.255944055944056</v>
      </c>
      <c r="B33" s="75">
        <v>2.7698626520000002E-2</v>
      </c>
      <c r="E33" s="6"/>
      <c r="F33">
        <v>0.25600000000000001</v>
      </c>
      <c r="G33">
        <v>0</v>
      </c>
      <c r="H33">
        <v>0.31730103335454546</v>
      </c>
    </row>
    <row r="34" spans="1:8">
      <c r="A34" s="74">
        <v>1.2571678321678321</v>
      </c>
      <c r="B34" s="75">
        <v>3.1791801450000004E-2</v>
      </c>
      <c r="E34" s="6"/>
      <c r="F34">
        <v>0.25800000000000001</v>
      </c>
      <c r="G34">
        <v>0</v>
      </c>
      <c r="H34">
        <v>0.31098458701818182</v>
      </c>
    </row>
    <row r="35" spans="1:8">
      <c r="A35" s="74">
        <v>1.2583916083916082</v>
      </c>
      <c r="B35" s="75">
        <v>3.7232904429999998E-2</v>
      </c>
      <c r="E35" s="6"/>
      <c r="F35">
        <v>0.26</v>
      </c>
      <c r="G35">
        <v>0</v>
      </c>
      <c r="H35">
        <v>0.30322806813636372</v>
      </c>
    </row>
    <row r="36" spans="1:8">
      <c r="A36" s="74">
        <v>1.2596153846153848</v>
      </c>
      <c r="B36" s="75">
        <v>4.1791486740000001E-2</v>
      </c>
      <c r="E36" s="6"/>
      <c r="F36">
        <v>0.26200000000000001</v>
      </c>
      <c r="G36">
        <v>0</v>
      </c>
      <c r="H36">
        <v>0.29412388597727274</v>
      </c>
    </row>
    <row r="37" spans="1:8">
      <c r="A37" s="74">
        <v>1.2608391608391609</v>
      </c>
      <c r="B37" s="75">
        <v>4.925077915E-2</v>
      </c>
      <c r="E37" s="6"/>
      <c r="F37">
        <v>0.26400000000000001</v>
      </c>
      <c r="G37">
        <v>0</v>
      </c>
      <c r="H37">
        <v>0.28380382738636362</v>
      </c>
    </row>
    <row r="38" spans="1:8">
      <c r="A38" s="74">
        <v>1.262062937062937</v>
      </c>
      <c r="B38" s="75">
        <v>5.6228485109999997E-2</v>
      </c>
      <c r="E38" s="6"/>
      <c r="F38">
        <v>0.26600000000000001</v>
      </c>
      <c r="G38">
        <v>0</v>
      </c>
      <c r="H38">
        <v>0.27236590257727278</v>
      </c>
    </row>
    <row r="39" spans="1:8">
      <c r="A39" s="74">
        <v>1.2632867132867129</v>
      </c>
      <c r="B39" s="75">
        <v>6.49230051E-2</v>
      </c>
      <c r="E39" s="6"/>
      <c r="F39">
        <v>0.26800000000000002</v>
      </c>
      <c r="G39">
        <v>0</v>
      </c>
      <c r="H39">
        <v>0.25989687916818177</v>
      </c>
    </row>
    <row r="40" spans="1:8">
      <c r="A40" s="74">
        <v>1.2645104895104897</v>
      </c>
      <c r="B40" s="75">
        <v>7.453229904E-2</v>
      </c>
      <c r="E40" s="6"/>
      <c r="F40">
        <v>0.27</v>
      </c>
      <c r="G40">
        <v>0</v>
      </c>
      <c r="H40">
        <v>0.2465488845181818</v>
      </c>
    </row>
    <row r="41" spans="1:8">
      <c r="A41" s="74">
        <v>1.2657342657342658</v>
      </c>
      <c r="B41" s="75">
        <v>8.7281856540000008E-2</v>
      </c>
      <c r="E41" s="6"/>
      <c r="F41">
        <v>0.27200000000000002</v>
      </c>
      <c r="G41">
        <v>0</v>
      </c>
      <c r="H41">
        <v>0.23245546843181816</v>
      </c>
    </row>
    <row r="42" spans="1:8">
      <c r="A42" s="74">
        <v>1.2669580419580417</v>
      </c>
      <c r="B42" s="75">
        <v>0.1018077087</v>
      </c>
      <c r="E42" s="6"/>
      <c r="F42">
        <v>0.27400000000000002</v>
      </c>
      <c r="G42">
        <v>0</v>
      </c>
      <c r="H42">
        <v>0.21776767552727275</v>
      </c>
    </row>
    <row r="43" spans="1:8">
      <c r="A43" s="74">
        <v>1.2681818181818179</v>
      </c>
      <c r="B43" s="75">
        <v>0.11824641229999999</v>
      </c>
      <c r="E43" s="6"/>
      <c r="F43">
        <v>0.27600000000000002</v>
      </c>
      <c r="G43">
        <v>0</v>
      </c>
      <c r="H43">
        <v>0.20257240186818185</v>
      </c>
    </row>
    <row r="44" spans="1:8">
      <c r="A44" s="74">
        <v>1.2694055944055946</v>
      </c>
      <c r="B44" s="75">
        <v>0.13804836269999998</v>
      </c>
      <c r="E44" s="6"/>
      <c r="F44">
        <v>0.27800000000000002</v>
      </c>
      <c r="G44">
        <v>0</v>
      </c>
      <c r="H44">
        <v>0.18700125248636365</v>
      </c>
    </row>
    <row r="45" spans="1:8">
      <c r="A45" s="74">
        <v>1.2706293706293708</v>
      </c>
      <c r="B45" s="75">
        <v>0.15973195079999999</v>
      </c>
      <c r="E45" s="6"/>
      <c r="F45">
        <v>0.28000000000000003</v>
      </c>
      <c r="G45">
        <v>0</v>
      </c>
      <c r="H45">
        <v>0.17119878550454545</v>
      </c>
    </row>
    <row r="46" spans="1:8">
      <c r="A46" s="74">
        <v>1.2718531468531467</v>
      </c>
      <c r="B46" s="75">
        <v>0.1836878586</v>
      </c>
      <c r="E46" s="6"/>
      <c r="F46">
        <v>0.28199999999999997</v>
      </c>
      <c r="G46">
        <v>0</v>
      </c>
      <c r="H46">
        <v>0.15533689440909093</v>
      </c>
    </row>
    <row r="47" spans="1:8">
      <c r="A47" s="74">
        <v>1.2730769230769228</v>
      </c>
      <c r="B47" s="75">
        <v>0.2113692093</v>
      </c>
      <c r="E47" s="6"/>
      <c r="F47">
        <v>0.28399999999999997</v>
      </c>
      <c r="G47">
        <v>0</v>
      </c>
      <c r="H47">
        <v>0.13957160243636366</v>
      </c>
    </row>
    <row r="48" spans="1:8">
      <c r="A48" s="74">
        <v>1.2743006993006996</v>
      </c>
      <c r="B48" s="75">
        <v>0.24609054570000002</v>
      </c>
      <c r="E48" s="6"/>
      <c r="F48">
        <v>0.28599999999999998</v>
      </c>
      <c r="G48">
        <v>0</v>
      </c>
      <c r="H48">
        <v>0.12412795778181819</v>
      </c>
    </row>
    <row r="49" spans="1:8">
      <c r="A49" s="74">
        <v>1.2755244755244755</v>
      </c>
      <c r="B49" s="75">
        <v>0.27992565159999999</v>
      </c>
      <c r="E49" s="6"/>
      <c r="F49">
        <v>0.28799999999999998</v>
      </c>
      <c r="G49">
        <v>0</v>
      </c>
      <c r="H49">
        <v>0.10929101709090908</v>
      </c>
    </row>
    <row r="50" spans="1:8">
      <c r="A50" s="74">
        <v>1.2767482517482516</v>
      </c>
      <c r="B50" s="75">
        <v>0.32211608889999999</v>
      </c>
      <c r="E50" s="6"/>
      <c r="F50">
        <v>0.28999999999999998</v>
      </c>
      <c r="G50">
        <v>0</v>
      </c>
      <c r="H50">
        <v>9.5411346904545447E-2</v>
      </c>
    </row>
    <row r="51" spans="1:8">
      <c r="A51" s="74">
        <v>1.2779720279720277</v>
      </c>
      <c r="B51" s="75">
        <v>0.36250644679999999</v>
      </c>
      <c r="E51" s="6"/>
      <c r="F51">
        <v>0.29199999999999998</v>
      </c>
      <c r="G51">
        <v>0</v>
      </c>
      <c r="H51">
        <v>8.2965039345454544E-2</v>
      </c>
    </row>
    <row r="52" spans="1:8">
      <c r="A52" s="74">
        <v>1.2791958041958043</v>
      </c>
      <c r="B52" s="75">
        <v>0.4088680267</v>
      </c>
      <c r="E52" s="6"/>
      <c r="F52">
        <v>0.29399999999999998</v>
      </c>
      <c r="G52">
        <v>0</v>
      </c>
      <c r="H52">
        <v>7.2475703213636375E-2</v>
      </c>
    </row>
    <row r="53" spans="1:8">
      <c r="A53" s="76">
        <v>1.2804195804195804</v>
      </c>
      <c r="B53" s="77">
        <v>0.45801845550000003</v>
      </c>
      <c r="E53" s="6"/>
      <c r="F53">
        <v>0.29599999999999999</v>
      </c>
      <c r="G53">
        <v>0</v>
      </c>
      <c r="H53">
        <v>6.4398966195454543E-2</v>
      </c>
    </row>
    <row r="54" spans="1:8">
      <c r="A54" s="74">
        <v>1.2816433566433565</v>
      </c>
      <c r="B54" s="75">
        <v>0.50883323670000002</v>
      </c>
      <c r="D54" s="1" t="s">
        <v>188</v>
      </c>
      <c r="F54">
        <v>0.29799999999999999</v>
      </c>
      <c r="G54">
        <v>0</v>
      </c>
      <c r="H54">
        <v>5.8918129904545466E-2</v>
      </c>
    </row>
    <row r="55" spans="1:8">
      <c r="A55" s="74">
        <v>1.2828671328671326</v>
      </c>
      <c r="B55" s="75">
        <v>0.55963485720000006</v>
      </c>
      <c r="F55">
        <v>0.3</v>
      </c>
      <c r="G55">
        <v>0</v>
      </c>
      <c r="H55">
        <v>5.5958472554545453E-2</v>
      </c>
    </row>
    <row r="56" spans="1:8">
      <c r="A56" s="74">
        <v>1.2840909090909092</v>
      </c>
      <c r="B56" s="75">
        <v>0.61031295780000006</v>
      </c>
      <c r="F56">
        <v>0.30199999999999999</v>
      </c>
      <c r="G56">
        <v>0</v>
      </c>
      <c r="H56">
        <v>5.5011149336363634E-2</v>
      </c>
    </row>
    <row r="57" spans="1:8">
      <c r="A57" s="74">
        <v>1.2853146853146853</v>
      </c>
      <c r="B57" s="75">
        <v>0.65591621399999989</v>
      </c>
      <c r="F57">
        <v>0.30399999999999999</v>
      </c>
      <c r="G57">
        <v>0</v>
      </c>
      <c r="H57">
        <v>5.6093163895454545E-2</v>
      </c>
    </row>
    <row r="58" spans="1:8">
      <c r="A58" s="74">
        <v>1.2865384615384614</v>
      </c>
      <c r="B58" s="75">
        <v>0.70090629579999997</v>
      </c>
      <c r="F58">
        <v>0.30599999999999999</v>
      </c>
      <c r="G58">
        <v>0</v>
      </c>
      <c r="H58">
        <v>6.1259055550000004E-2</v>
      </c>
    </row>
    <row r="59" spans="1:8">
      <c r="A59" s="74">
        <v>1.2877622377622375</v>
      </c>
      <c r="B59" s="75">
        <v>0.74175353999999993</v>
      </c>
      <c r="F59">
        <v>0.308</v>
      </c>
      <c r="G59">
        <v>0</v>
      </c>
      <c r="H59">
        <v>7.3600728004545451E-2</v>
      </c>
    </row>
    <row r="60" spans="1:8">
      <c r="A60" s="74">
        <v>1.2889860139860141</v>
      </c>
      <c r="B60" s="75">
        <v>0.77964294429999992</v>
      </c>
      <c r="F60">
        <v>0.31</v>
      </c>
      <c r="G60">
        <v>0</v>
      </c>
      <c r="H60">
        <v>9.497821616818182E-2</v>
      </c>
    </row>
    <row r="61" spans="1:8">
      <c r="A61" s="74">
        <v>1.2902097902097902</v>
      </c>
      <c r="B61" s="75">
        <v>0.81439285280000007</v>
      </c>
      <c r="F61">
        <v>0.312</v>
      </c>
      <c r="G61">
        <v>0</v>
      </c>
      <c r="H61">
        <v>0.12530180993636364</v>
      </c>
    </row>
    <row r="62" spans="1:8">
      <c r="A62" s="74">
        <v>1.2914335664335663</v>
      </c>
      <c r="B62" s="75">
        <v>0.83844497680000007</v>
      </c>
      <c r="F62">
        <v>0.314</v>
      </c>
      <c r="G62">
        <v>0</v>
      </c>
      <c r="H62">
        <v>0.16307880307272729</v>
      </c>
    </row>
    <row r="63" spans="1:8">
      <c r="A63" s="74">
        <v>1.2926573426573424</v>
      </c>
      <c r="B63" s="75">
        <v>0.86356422420000001</v>
      </c>
      <c r="F63">
        <v>0.316</v>
      </c>
      <c r="G63">
        <v>0</v>
      </c>
      <c r="H63">
        <v>0.20630289114545458</v>
      </c>
    </row>
    <row r="64" spans="1:8">
      <c r="A64" s="74">
        <v>1.293881118881119</v>
      </c>
      <c r="B64" s="75">
        <v>0.88125648499999998</v>
      </c>
      <c r="F64">
        <v>0.318</v>
      </c>
      <c r="G64">
        <v>0</v>
      </c>
      <c r="H64">
        <v>0.25301978199090913</v>
      </c>
    </row>
    <row r="65" spans="1:8">
      <c r="A65" s="76">
        <v>1.2951048951048951</v>
      </c>
      <c r="B65" s="77">
        <v>0.89845085139999992</v>
      </c>
      <c r="F65">
        <v>0.32</v>
      </c>
      <c r="G65">
        <v>0</v>
      </c>
      <c r="H65">
        <v>0.30165277689999997</v>
      </c>
    </row>
    <row r="66" spans="1:8">
      <c r="A66" s="74">
        <v>1.2963286713286712</v>
      </c>
      <c r="B66" s="75">
        <v>0.90979232789999998</v>
      </c>
      <c r="F66">
        <v>0.32200000000000001</v>
      </c>
      <c r="G66">
        <v>0</v>
      </c>
      <c r="H66">
        <v>0.35123692035000004</v>
      </c>
    </row>
    <row r="67" spans="1:8">
      <c r="A67" s="74">
        <v>1.2975524475524474</v>
      </c>
      <c r="B67" s="75">
        <v>0.9202216339</v>
      </c>
      <c r="F67">
        <v>0.32400000000000001</v>
      </c>
      <c r="G67">
        <v>0</v>
      </c>
      <c r="H67">
        <v>0.40153013064999998</v>
      </c>
    </row>
    <row r="68" spans="1:8">
      <c r="A68" s="74">
        <v>1.2987762237762239</v>
      </c>
      <c r="B68" s="75">
        <v>0.93063026429999995</v>
      </c>
      <c r="F68">
        <v>0.32600000000000001</v>
      </c>
      <c r="G68">
        <v>0</v>
      </c>
      <c r="H68">
        <v>0.45180439343636364</v>
      </c>
    </row>
    <row r="69" spans="1:8">
      <c r="A69" s="74">
        <v>1.3</v>
      </c>
      <c r="B69" s="75">
        <v>0.93388092040000004</v>
      </c>
      <c r="F69">
        <v>0.32800000000000001</v>
      </c>
      <c r="G69">
        <v>0</v>
      </c>
      <c r="H69">
        <v>0.49948334978181824</v>
      </c>
    </row>
    <row r="70" spans="1:8">
      <c r="A70" s="74">
        <v>1.3012237762237762</v>
      </c>
      <c r="B70" s="75">
        <v>0.93975807189999994</v>
      </c>
      <c r="F70">
        <v>0.33</v>
      </c>
      <c r="G70">
        <v>0</v>
      </c>
      <c r="H70">
        <v>0.54091176768636373</v>
      </c>
    </row>
    <row r="71" spans="1:8">
      <c r="A71" s="74">
        <v>1.3024475524475523</v>
      </c>
      <c r="B71" s="75">
        <v>0.9443775940000001</v>
      </c>
      <c r="F71">
        <v>0.33200000000000002</v>
      </c>
      <c r="G71">
        <v>0</v>
      </c>
      <c r="H71">
        <v>0.57365234670909093</v>
      </c>
    </row>
    <row r="72" spans="1:8">
      <c r="A72" s="74">
        <v>1.3036713286713288</v>
      </c>
      <c r="B72" s="75">
        <v>0.94693893429999998</v>
      </c>
      <c r="F72">
        <v>0.33400000000000002</v>
      </c>
      <c r="G72">
        <v>0</v>
      </c>
      <c r="H72">
        <v>0.59726885080909109</v>
      </c>
    </row>
    <row r="73" spans="1:8">
      <c r="A73" s="74">
        <v>1.304895104895105</v>
      </c>
      <c r="B73" s="75">
        <v>0.94922401429999992</v>
      </c>
      <c r="F73">
        <v>0.33600000000000002</v>
      </c>
      <c r="G73">
        <v>0</v>
      </c>
      <c r="H73">
        <v>0.61272561589545449</v>
      </c>
    </row>
    <row r="74" spans="1:8">
      <c r="A74" s="74">
        <v>1.3061188811188811</v>
      </c>
      <c r="B74" s="75">
        <v>0.95357200620000004</v>
      </c>
      <c r="F74">
        <v>0.33800000000000002</v>
      </c>
      <c r="G74">
        <v>0</v>
      </c>
      <c r="H74">
        <v>0.62154971279090898</v>
      </c>
    </row>
    <row r="75" spans="1:8">
      <c r="A75" s="74">
        <v>1.3073426573426572</v>
      </c>
      <c r="B75" s="75">
        <v>0.95669784550000003</v>
      </c>
      <c r="F75">
        <v>0.34</v>
      </c>
      <c r="G75">
        <v>0</v>
      </c>
      <c r="H75">
        <v>0.62535425268181821</v>
      </c>
    </row>
    <row r="76" spans="1:8">
      <c r="A76" s="74">
        <v>1.3085664335664338</v>
      </c>
      <c r="B76" s="75">
        <v>0.95700469970000002</v>
      </c>
      <c r="F76">
        <v>0.34200000000000003</v>
      </c>
      <c r="G76">
        <v>0</v>
      </c>
      <c r="H76">
        <v>0.62563777883636373</v>
      </c>
    </row>
    <row r="77" spans="1:8">
      <c r="A77" s="74">
        <v>1.3097902097902099</v>
      </c>
      <c r="B77" s="75">
        <v>0.9584835814999999</v>
      </c>
      <c r="F77">
        <v>0.34399999999999997</v>
      </c>
      <c r="G77">
        <v>0</v>
      </c>
      <c r="H77">
        <v>0.62368975336363652</v>
      </c>
    </row>
    <row r="78" spans="1:8">
      <c r="F78">
        <v>0.34599999999999997</v>
      </c>
      <c r="G78">
        <v>0</v>
      </c>
      <c r="H78">
        <v>0.62054294646363639</v>
      </c>
    </row>
    <row r="79" spans="1:8">
      <c r="F79">
        <v>0.34799999999999998</v>
      </c>
      <c r="G79">
        <v>0</v>
      </c>
      <c r="H79">
        <v>0.61720857392272732</v>
      </c>
    </row>
    <row r="80" spans="1:8">
      <c r="F80">
        <v>0.35</v>
      </c>
      <c r="G80">
        <v>0</v>
      </c>
      <c r="H80">
        <v>0.61467844269545457</v>
      </c>
    </row>
    <row r="81" spans="6:8">
      <c r="F81">
        <v>0.35199999999999998</v>
      </c>
      <c r="G81">
        <v>0</v>
      </c>
      <c r="H81">
        <v>0.61390766684999998</v>
      </c>
    </row>
    <row r="82" spans="6:8">
      <c r="F82">
        <v>0.35399999999999998</v>
      </c>
      <c r="G82">
        <v>0</v>
      </c>
      <c r="H82">
        <v>0.61581152608181811</v>
      </c>
    </row>
    <row r="83" spans="6:8">
      <c r="F83">
        <v>0.35599999999999998</v>
      </c>
      <c r="G83">
        <v>0</v>
      </c>
      <c r="H83">
        <v>0.62103587489090906</v>
      </c>
    </row>
    <row r="84" spans="6:8">
      <c r="F84">
        <v>0.35799999999999998</v>
      </c>
      <c r="G84">
        <v>0</v>
      </c>
      <c r="H84">
        <v>0.62989692789545448</v>
      </c>
    </row>
    <row r="85" spans="6:8">
      <c r="F85">
        <v>0.36</v>
      </c>
      <c r="G85">
        <v>0</v>
      </c>
      <c r="H85">
        <v>0.64239265258181821</v>
      </c>
    </row>
    <row r="86" spans="6:8">
      <c r="F86">
        <v>0.36199999999999999</v>
      </c>
      <c r="G86">
        <v>0</v>
      </c>
      <c r="H86">
        <v>0.65823235427272719</v>
      </c>
    </row>
    <row r="87" spans="6:8">
      <c r="F87">
        <v>0.36399999999999999</v>
      </c>
      <c r="G87">
        <v>0</v>
      </c>
      <c r="H87">
        <v>0.67721266672727287</v>
      </c>
    </row>
    <row r="88" spans="6:8">
      <c r="F88">
        <v>0.36599999999999999</v>
      </c>
      <c r="G88">
        <v>0</v>
      </c>
      <c r="H88">
        <v>0.69881834638181817</v>
      </c>
    </row>
    <row r="89" spans="6:8">
      <c r="F89">
        <v>0.36799999999999999</v>
      </c>
      <c r="G89">
        <v>0</v>
      </c>
      <c r="H89">
        <v>0.72216529774545446</v>
      </c>
    </row>
    <row r="90" spans="6:8">
      <c r="F90">
        <v>0.37</v>
      </c>
      <c r="G90">
        <v>0</v>
      </c>
      <c r="H90">
        <v>0.74656099991363634</v>
      </c>
    </row>
    <row r="91" spans="6:8">
      <c r="F91">
        <v>0.372</v>
      </c>
      <c r="G91">
        <v>0</v>
      </c>
      <c r="H91">
        <v>0.77121841059999985</v>
      </c>
    </row>
    <row r="92" spans="6:8">
      <c r="F92">
        <v>0.374</v>
      </c>
      <c r="G92">
        <v>0</v>
      </c>
      <c r="H92">
        <v>0.79534849932727258</v>
      </c>
    </row>
    <row r="93" spans="6:8">
      <c r="F93">
        <v>0.376</v>
      </c>
      <c r="G93">
        <v>0</v>
      </c>
      <c r="H93">
        <v>0.81819424295909082</v>
      </c>
    </row>
    <row r="94" spans="6:8">
      <c r="F94">
        <v>0.378</v>
      </c>
      <c r="G94">
        <v>0</v>
      </c>
      <c r="H94">
        <v>0.83917421505454537</v>
      </c>
    </row>
    <row r="95" spans="6:8">
      <c r="F95">
        <v>0.38</v>
      </c>
      <c r="G95">
        <v>0</v>
      </c>
      <c r="H95">
        <v>0.85793409339999982</v>
      </c>
    </row>
    <row r="96" spans="6:8">
      <c r="F96">
        <v>0.38200000000000001</v>
      </c>
      <c r="G96">
        <v>0</v>
      </c>
      <c r="H96">
        <v>0.87433670729545421</v>
      </c>
    </row>
    <row r="97" spans="6:8">
      <c r="F97">
        <v>0.38400000000000001</v>
      </c>
      <c r="G97">
        <v>0</v>
      </c>
      <c r="H97">
        <v>0.88847510280909059</v>
      </c>
    </row>
    <row r="98" spans="6:8">
      <c r="F98">
        <v>0.38600000000000001</v>
      </c>
      <c r="G98">
        <v>0</v>
      </c>
      <c r="H98">
        <v>0.90030913983181837</v>
      </c>
    </row>
    <row r="99" spans="6:8">
      <c r="F99">
        <v>0.38800000000000001</v>
      </c>
      <c r="G99">
        <v>0</v>
      </c>
      <c r="H99">
        <v>0.91007662426818181</v>
      </c>
    </row>
    <row r="100" spans="6:8">
      <c r="F100">
        <v>0.39</v>
      </c>
      <c r="G100">
        <v>0</v>
      </c>
      <c r="H100">
        <v>0.91834288526818175</v>
      </c>
    </row>
    <row r="101" spans="6:8">
      <c r="F101">
        <v>0.39200000000000002</v>
      </c>
      <c r="G101">
        <v>0</v>
      </c>
      <c r="H101">
        <v>0.9253486160454546</v>
      </c>
    </row>
    <row r="102" spans="6:8">
      <c r="F102">
        <v>0.39400000000000002</v>
      </c>
      <c r="G102">
        <v>0</v>
      </c>
      <c r="H102">
        <v>0.93130447347727285</v>
      </c>
    </row>
    <row r="103" spans="6:8">
      <c r="F103">
        <v>0.39600000000000002</v>
      </c>
      <c r="G103">
        <v>0</v>
      </c>
      <c r="H103">
        <v>0.936395592690909</v>
      </c>
    </row>
    <row r="104" spans="6:8">
      <c r="F104">
        <v>0.39800000000000002</v>
      </c>
      <c r="G104">
        <v>0</v>
      </c>
      <c r="H104">
        <v>0.94078600305454541</v>
      </c>
    </row>
    <row r="105" spans="6:8">
      <c r="F105">
        <v>0.4</v>
      </c>
      <c r="G105">
        <v>0</v>
      </c>
      <c r="H105">
        <v>0.94457647183636373</v>
      </c>
    </row>
    <row r="106" spans="6:8">
      <c r="F106">
        <v>0.40200000000000002</v>
      </c>
      <c r="G106">
        <v>0</v>
      </c>
      <c r="H106">
        <v>0.94787423018636374</v>
      </c>
    </row>
    <row r="107" spans="6:8">
      <c r="F107">
        <v>0.40400000000000003</v>
      </c>
      <c r="G107">
        <v>0</v>
      </c>
      <c r="H107">
        <v>0.95075359646363666</v>
      </c>
    </row>
    <row r="108" spans="6:8">
      <c r="F108">
        <v>0.40600000000000003</v>
      </c>
      <c r="G108">
        <v>0</v>
      </c>
      <c r="H108">
        <v>0.95328804418181801</v>
      </c>
    </row>
    <row r="109" spans="6:8">
      <c r="F109">
        <v>0.40799999999999997</v>
      </c>
      <c r="G109">
        <v>0</v>
      </c>
      <c r="H109">
        <v>0.95556031301818178</v>
      </c>
    </row>
    <row r="110" spans="6:8">
      <c r="F110">
        <v>0.41</v>
      </c>
      <c r="G110">
        <v>0</v>
      </c>
      <c r="H110">
        <v>0.95760027106363632</v>
      </c>
    </row>
    <row r="111" spans="6:8">
      <c r="F111">
        <v>0.41199999999999998</v>
      </c>
      <c r="G111">
        <v>0</v>
      </c>
      <c r="H111">
        <v>0.9594233408181817</v>
      </c>
    </row>
    <row r="112" spans="6:8">
      <c r="F112">
        <v>0.41399999999999998</v>
      </c>
      <c r="G112">
        <v>0</v>
      </c>
      <c r="H112">
        <v>0.96105801998636364</v>
      </c>
    </row>
    <row r="113" spans="6:8">
      <c r="F113">
        <v>0.41599999999999998</v>
      </c>
      <c r="G113">
        <v>0</v>
      </c>
      <c r="H113">
        <v>0.96254010866818196</v>
      </c>
    </row>
    <row r="114" spans="6:8">
      <c r="F114">
        <v>0.41799999999999998</v>
      </c>
      <c r="G114">
        <v>0</v>
      </c>
      <c r="H114">
        <v>0.96389653246818197</v>
      </c>
    </row>
    <row r="115" spans="6:8">
      <c r="F115">
        <v>0.42</v>
      </c>
      <c r="G115">
        <v>0</v>
      </c>
      <c r="H115">
        <v>0.96514082700454551</v>
      </c>
    </row>
    <row r="116" spans="6:8">
      <c r="F116">
        <v>0.42199999999999999</v>
      </c>
      <c r="G116">
        <v>0</v>
      </c>
      <c r="H116">
        <v>0.96629280363181824</v>
      </c>
    </row>
    <row r="117" spans="6:8">
      <c r="F117">
        <v>0.42399999999999999</v>
      </c>
      <c r="G117">
        <v>0</v>
      </c>
      <c r="H117">
        <v>0.96734627706818155</v>
      </c>
    </row>
    <row r="118" spans="6:8">
      <c r="F118">
        <v>0.42599999999999999</v>
      </c>
      <c r="G118">
        <v>0</v>
      </c>
      <c r="H118">
        <v>0.96831333113636342</v>
      </c>
    </row>
    <row r="119" spans="6:8">
      <c r="F119">
        <v>0.42799999999999999</v>
      </c>
      <c r="G119">
        <v>0</v>
      </c>
      <c r="H119">
        <v>0.96922516541818182</v>
      </c>
    </row>
    <row r="120" spans="6:8">
      <c r="F120">
        <v>0.43</v>
      </c>
      <c r="G120">
        <v>0</v>
      </c>
      <c r="H120">
        <v>0.97005884064090908</v>
      </c>
    </row>
    <row r="121" spans="6:8">
      <c r="F121">
        <v>0.432</v>
      </c>
      <c r="G121">
        <v>0</v>
      </c>
      <c r="H121">
        <v>0.97082984171818165</v>
      </c>
    </row>
    <row r="122" spans="6:8">
      <c r="F122">
        <v>0.434</v>
      </c>
      <c r="G122">
        <v>0</v>
      </c>
      <c r="H122">
        <v>0.97154533626818196</v>
      </c>
    </row>
    <row r="123" spans="6:8">
      <c r="F123">
        <v>0.436</v>
      </c>
      <c r="G123">
        <v>0</v>
      </c>
      <c r="H123">
        <v>0.97220211315454552</v>
      </c>
    </row>
    <row r="124" spans="6:8">
      <c r="F124">
        <v>0.438</v>
      </c>
      <c r="G124">
        <v>0</v>
      </c>
      <c r="H124">
        <v>0.97281506933636364</v>
      </c>
    </row>
    <row r="125" spans="6:8">
      <c r="F125">
        <v>0.44</v>
      </c>
      <c r="G125">
        <v>0</v>
      </c>
      <c r="H125">
        <v>0.97339554600454536</v>
      </c>
    </row>
    <row r="126" spans="6:8">
      <c r="F126">
        <v>0.442</v>
      </c>
      <c r="G126">
        <v>0</v>
      </c>
      <c r="H126">
        <v>0.97392844086818187</v>
      </c>
    </row>
    <row r="127" spans="6:8">
      <c r="F127">
        <v>0.44400000000000001</v>
      </c>
      <c r="G127">
        <v>0</v>
      </c>
      <c r="H127">
        <v>0.974430776568182</v>
      </c>
    </row>
    <row r="128" spans="6:8">
      <c r="F128">
        <v>0.44600000000000001</v>
      </c>
      <c r="G128">
        <v>0</v>
      </c>
      <c r="H128">
        <v>0.97491318694090912</v>
      </c>
    </row>
    <row r="129" spans="6:8">
      <c r="F129">
        <v>0.44800000000000001</v>
      </c>
      <c r="G129">
        <v>0</v>
      </c>
      <c r="H129">
        <v>0.97538033401363633</v>
      </c>
    </row>
    <row r="130" spans="6:8">
      <c r="F130">
        <v>0.45</v>
      </c>
      <c r="G130">
        <v>0</v>
      </c>
      <c r="H130">
        <v>0.97580818672727265</v>
      </c>
    </row>
    <row r="131" spans="6:8">
      <c r="F131">
        <v>0.45200000000000001</v>
      </c>
      <c r="G131">
        <v>0</v>
      </c>
      <c r="H131">
        <v>0.97621143399545462</v>
      </c>
    </row>
    <row r="132" spans="6:8">
      <c r="F132">
        <v>0.45400000000000001</v>
      </c>
      <c r="G132">
        <v>0</v>
      </c>
      <c r="H132">
        <v>0.97658739926818183</v>
      </c>
    </row>
    <row r="133" spans="6:8">
      <c r="F133">
        <v>0.45600000000000002</v>
      </c>
      <c r="G133">
        <v>0</v>
      </c>
      <c r="H133">
        <v>0.97693909739545459</v>
      </c>
    </row>
    <row r="134" spans="6:8">
      <c r="F134">
        <v>0.45800000000000002</v>
      </c>
      <c r="G134">
        <v>0</v>
      </c>
      <c r="H134">
        <v>0.97729492658181816</v>
      </c>
    </row>
    <row r="135" spans="6:8">
      <c r="F135">
        <v>0.46</v>
      </c>
      <c r="G135">
        <v>0</v>
      </c>
      <c r="H135">
        <v>0.97764914567727279</v>
      </c>
    </row>
    <row r="136" spans="6:8">
      <c r="F136">
        <v>0.46200000000000002</v>
      </c>
      <c r="G136">
        <v>0</v>
      </c>
      <c r="H136">
        <v>0.97796825212727267</v>
      </c>
    </row>
    <row r="137" spans="6:8">
      <c r="F137">
        <v>0.46400000000000002</v>
      </c>
      <c r="G137">
        <v>0</v>
      </c>
      <c r="H137">
        <v>0.97827271760454537</v>
      </c>
    </row>
    <row r="138" spans="6:8">
      <c r="F138">
        <v>0.46600000000000003</v>
      </c>
      <c r="G138">
        <v>0</v>
      </c>
      <c r="H138">
        <v>0.97854475241363648</v>
      </c>
    </row>
    <row r="139" spans="6:8">
      <c r="F139">
        <v>0.46800000000000003</v>
      </c>
      <c r="G139">
        <v>0</v>
      </c>
      <c r="H139">
        <v>0.9788029268727273</v>
      </c>
    </row>
    <row r="140" spans="6:8">
      <c r="F140">
        <v>0.47</v>
      </c>
      <c r="G140">
        <v>0</v>
      </c>
      <c r="H140">
        <v>0.97903283519090889</v>
      </c>
    </row>
    <row r="141" spans="6:8">
      <c r="F141">
        <v>0.47199999999999998</v>
      </c>
      <c r="G141">
        <v>0</v>
      </c>
      <c r="H141">
        <v>0.9792558020272728</v>
      </c>
    </row>
    <row r="142" spans="6:8">
      <c r="F142">
        <v>0.47399999999999998</v>
      </c>
      <c r="G142">
        <v>0</v>
      </c>
      <c r="H142">
        <v>0.97948105012727271</v>
      </c>
    </row>
    <row r="143" spans="6:8">
      <c r="F143">
        <v>0.47599999999999998</v>
      </c>
      <c r="G143">
        <v>0</v>
      </c>
      <c r="H143">
        <v>0.97969584077727279</v>
      </c>
    </row>
    <row r="144" spans="6:8">
      <c r="F144">
        <v>0.47799999999999998</v>
      </c>
      <c r="G144">
        <v>0</v>
      </c>
      <c r="H144">
        <v>0.97992231996363643</v>
      </c>
    </row>
    <row r="145" spans="6:8">
      <c r="F145">
        <v>0.48</v>
      </c>
      <c r="G145">
        <v>0</v>
      </c>
      <c r="H145">
        <v>0.9801259340499997</v>
      </c>
    </row>
    <row r="146" spans="6:8">
      <c r="F146">
        <v>0.48199999999999998</v>
      </c>
      <c r="G146">
        <v>0</v>
      </c>
      <c r="H146">
        <v>0.98028840669545458</v>
      </c>
    </row>
    <row r="147" spans="6:8">
      <c r="F147">
        <v>0.48399999999999999</v>
      </c>
      <c r="G147">
        <v>0</v>
      </c>
      <c r="H147">
        <v>0.98044333181363652</v>
      </c>
    </row>
    <row r="148" spans="6:8">
      <c r="F148">
        <v>0.48599999999999999</v>
      </c>
      <c r="G148">
        <v>0</v>
      </c>
      <c r="H148">
        <v>0.98059518147727265</v>
      </c>
    </row>
    <row r="149" spans="6:8">
      <c r="F149">
        <v>0.48799999999999999</v>
      </c>
      <c r="G149">
        <v>0</v>
      </c>
      <c r="H149">
        <v>0.98074903380454548</v>
      </c>
    </row>
    <row r="150" spans="6:8">
      <c r="F150">
        <v>0.49</v>
      </c>
      <c r="G150">
        <v>0</v>
      </c>
      <c r="H150">
        <v>0.98088376042272729</v>
      </c>
    </row>
    <row r="151" spans="6:8">
      <c r="F151">
        <v>0.49199999999999999</v>
      </c>
      <c r="G151">
        <v>0</v>
      </c>
      <c r="H151">
        <v>0.98101983481363664</v>
      </c>
    </row>
    <row r="152" spans="6:8">
      <c r="F152">
        <v>0.49399999999999999</v>
      </c>
      <c r="G152">
        <v>0</v>
      </c>
      <c r="H152">
        <v>0.98115388211818166</v>
      </c>
    </row>
    <row r="153" spans="6:8">
      <c r="F153">
        <v>0.496</v>
      </c>
      <c r="G153">
        <v>0</v>
      </c>
      <c r="H153">
        <v>0.98126489426818164</v>
      </c>
    </row>
    <row r="154" spans="6:8">
      <c r="F154">
        <v>0.498</v>
      </c>
      <c r="G154">
        <v>0</v>
      </c>
      <c r="H154">
        <v>0.98136261321818186</v>
      </c>
    </row>
    <row r="155" spans="6:8">
      <c r="F155">
        <v>0.5</v>
      </c>
      <c r="G155">
        <v>0</v>
      </c>
      <c r="H155">
        <v>0.98144394723181816</v>
      </c>
    </row>
    <row r="156" spans="6:8">
      <c r="F156">
        <v>0.502</v>
      </c>
      <c r="G156">
        <v>0</v>
      </c>
      <c r="H156">
        <v>0.98152306601363637</v>
      </c>
    </row>
    <row r="157" spans="6:8">
      <c r="F157">
        <v>0.504</v>
      </c>
      <c r="G157">
        <v>0</v>
      </c>
      <c r="H157">
        <v>0.98161713874090895</v>
      </c>
    </row>
    <row r="158" spans="6:8">
      <c r="F158">
        <v>0.50600000000000001</v>
      </c>
      <c r="G158">
        <v>0</v>
      </c>
      <c r="H158">
        <v>0.98172193033181798</v>
      </c>
    </row>
    <row r="159" spans="6:8">
      <c r="F159">
        <v>0.50800000000000001</v>
      </c>
      <c r="G159">
        <v>0</v>
      </c>
      <c r="H159">
        <v>0.98180494860909073</v>
      </c>
    </row>
    <row r="160" spans="6:8">
      <c r="F160">
        <v>0.51</v>
      </c>
      <c r="G160">
        <v>0</v>
      </c>
      <c r="H160">
        <v>0.98189128566363626</v>
      </c>
    </row>
    <row r="161" spans="6:8">
      <c r="F161">
        <v>0.51200000000000001</v>
      </c>
      <c r="G161">
        <v>0</v>
      </c>
      <c r="H161">
        <v>0.98197834997272726</v>
      </c>
    </row>
    <row r="162" spans="6:8">
      <c r="F162">
        <v>0.51400000000000001</v>
      </c>
      <c r="G162">
        <v>0</v>
      </c>
      <c r="H162">
        <v>0.98206152202272734</v>
      </c>
    </row>
    <row r="163" spans="6:8">
      <c r="F163">
        <v>0.51600000000000001</v>
      </c>
      <c r="G163">
        <v>0</v>
      </c>
      <c r="H163">
        <v>0.98213251889090913</v>
      </c>
    </row>
    <row r="164" spans="6:8">
      <c r="F164">
        <v>0.51800000000000002</v>
      </c>
      <c r="G164">
        <v>0</v>
      </c>
      <c r="H164">
        <v>0.98221205557272728</v>
      </c>
    </row>
    <row r="165" spans="6:8">
      <c r="F165">
        <v>0.52</v>
      </c>
      <c r="G165">
        <v>0</v>
      </c>
      <c r="H165">
        <v>0.98229823614090905</v>
      </c>
    </row>
    <row r="166" spans="6:8">
      <c r="F166">
        <v>0.52200000000000002</v>
      </c>
      <c r="G166">
        <v>0</v>
      </c>
      <c r="H166">
        <v>0.98238808102272723</v>
      </c>
    </row>
    <row r="167" spans="6:8">
      <c r="F167">
        <v>0.52400000000000002</v>
      </c>
      <c r="G167">
        <v>0</v>
      </c>
      <c r="H167">
        <v>0.98245896120454534</v>
      </c>
    </row>
    <row r="168" spans="6:8">
      <c r="F168">
        <v>0.52600000000000002</v>
      </c>
      <c r="G168">
        <v>0</v>
      </c>
      <c r="H168">
        <v>0.98252417983636375</v>
      </c>
    </row>
    <row r="169" spans="6:8">
      <c r="F169">
        <v>0.52800000000000002</v>
      </c>
      <c r="G169">
        <v>0</v>
      </c>
      <c r="H169">
        <v>0.98257159972727282</v>
      </c>
    </row>
    <row r="170" spans="6:8">
      <c r="F170">
        <v>0.53</v>
      </c>
      <c r="G170">
        <v>0</v>
      </c>
      <c r="H170">
        <v>0.98264219407272724</v>
      </c>
    </row>
    <row r="171" spans="6:8">
      <c r="F171">
        <v>0.53200000000000003</v>
      </c>
      <c r="G171">
        <v>0</v>
      </c>
      <c r="H171">
        <v>0.98269512083636357</v>
      </c>
    </row>
    <row r="172" spans="6:8">
      <c r="F172">
        <v>0.53400000000000003</v>
      </c>
      <c r="G172">
        <v>0</v>
      </c>
      <c r="H172">
        <v>0.98274199076363644</v>
      </c>
    </row>
    <row r="173" spans="6:8">
      <c r="F173">
        <v>0.53600000000000003</v>
      </c>
      <c r="G173">
        <v>0</v>
      </c>
      <c r="H173">
        <v>0.98278971910454549</v>
      </c>
    </row>
    <row r="174" spans="6:8">
      <c r="F174">
        <v>0.53800000000000003</v>
      </c>
      <c r="G174">
        <v>0</v>
      </c>
      <c r="H174">
        <v>0.98282832329545444</v>
      </c>
    </row>
    <row r="175" spans="6:8">
      <c r="F175">
        <v>0.54</v>
      </c>
      <c r="G175">
        <v>0</v>
      </c>
      <c r="H175">
        <v>0.98286744036363627</v>
      </c>
    </row>
    <row r="176" spans="6:8">
      <c r="F176">
        <v>0.54200000000000004</v>
      </c>
      <c r="G176">
        <v>0</v>
      </c>
      <c r="H176">
        <v>0.98289658391363632</v>
      </c>
    </row>
    <row r="177" spans="6:8">
      <c r="F177">
        <v>0.54400000000000004</v>
      </c>
      <c r="G177">
        <v>0</v>
      </c>
      <c r="H177">
        <v>0.98290499799545439</v>
      </c>
    </row>
    <row r="178" spans="6:8">
      <c r="F178">
        <v>0.54600000000000004</v>
      </c>
      <c r="G178">
        <v>0</v>
      </c>
      <c r="H178">
        <v>0.98294554062727291</v>
      </c>
    </row>
    <row r="179" spans="6:8">
      <c r="F179">
        <v>0.54800000000000004</v>
      </c>
      <c r="G179">
        <v>0</v>
      </c>
      <c r="H179">
        <v>0.98297409622272736</v>
      </c>
    </row>
    <row r="180" spans="6:8">
      <c r="F180">
        <v>0.55000000000000004</v>
      </c>
      <c r="G180">
        <v>0</v>
      </c>
      <c r="H180">
        <v>0.98299769762272726</v>
      </c>
    </row>
    <row r="181" spans="6:8">
      <c r="F181">
        <v>0.55200000000000005</v>
      </c>
      <c r="G181">
        <v>0</v>
      </c>
      <c r="H181">
        <v>0.98301171626818173</v>
      </c>
    </row>
    <row r="182" spans="6:8">
      <c r="F182">
        <v>0.55400000000000005</v>
      </c>
      <c r="G182">
        <v>0</v>
      </c>
      <c r="H182">
        <v>0.98304318449999994</v>
      </c>
    </row>
    <row r="183" spans="6:8">
      <c r="F183">
        <v>0.55600000000000005</v>
      </c>
      <c r="G183">
        <v>0</v>
      </c>
      <c r="H183">
        <v>0.98306359647272745</v>
      </c>
    </row>
    <row r="184" spans="6:8">
      <c r="F184">
        <v>0.55800000000000005</v>
      </c>
      <c r="G184">
        <v>0</v>
      </c>
      <c r="H184">
        <v>0.98308421468181806</v>
      </c>
    </row>
    <row r="185" spans="6:8">
      <c r="F185">
        <v>0.56000000000000005</v>
      </c>
      <c r="G185">
        <v>0</v>
      </c>
      <c r="H185">
        <v>0.98310210478181814</v>
      </c>
    </row>
    <row r="186" spans="6:8">
      <c r="F186">
        <v>0.56200000000000006</v>
      </c>
      <c r="G186">
        <v>0</v>
      </c>
      <c r="H186">
        <v>0.98309709179090898</v>
      </c>
    </row>
    <row r="187" spans="6:8">
      <c r="F187">
        <v>0.56399999999999995</v>
      </c>
      <c r="G187">
        <v>0</v>
      </c>
      <c r="H187">
        <v>0.98309687741363627</v>
      </c>
    </row>
    <row r="188" spans="6:8">
      <c r="F188">
        <v>0.56599999999999995</v>
      </c>
      <c r="G188">
        <v>0</v>
      </c>
      <c r="H188">
        <v>0.98311510490909104</v>
      </c>
    </row>
    <row r="189" spans="6:8">
      <c r="F189">
        <v>0.56799999999999995</v>
      </c>
      <c r="G189">
        <v>0</v>
      </c>
      <c r="H189">
        <v>0.98310802231818184</v>
      </c>
    </row>
    <row r="190" spans="6:8">
      <c r="F190">
        <v>0.56999999999999995</v>
      </c>
      <c r="G190">
        <v>0</v>
      </c>
      <c r="H190">
        <v>0.98311657479545478</v>
      </c>
    </row>
    <row r="191" spans="6:8">
      <c r="F191">
        <v>0.57199999999999995</v>
      </c>
      <c r="G191">
        <v>0</v>
      </c>
      <c r="H191">
        <v>0.98312087862272735</v>
      </c>
    </row>
    <row r="192" spans="6:8">
      <c r="F192">
        <v>0.57399999999999995</v>
      </c>
      <c r="G192">
        <v>0</v>
      </c>
      <c r="H192">
        <v>0.98312711817727261</v>
      </c>
    </row>
    <row r="193" spans="6:8">
      <c r="F193">
        <v>0.57599999999999996</v>
      </c>
      <c r="G193">
        <v>0</v>
      </c>
      <c r="H193">
        <v>0.98310782964999988</v>
      </c>
    </row>
    <row r="194" spans="6:8">
      <c r="F194">
        <v>0.57799999999999996</v>
      </c>
      <c r="G194">
        <v>0</v>
      </c>
      <c r="H194">
        <v>0.98309981809090918</v>
      </c>
    </row>
    <row r="195" spans="6:8">
      <c r="F195">
        <v>0.57999999999999996</v>
      </c>
      <c r="G195">
        <v>0</v>
      </c>
      <c r="H195">
        <v>0.98309244966363651</v>
      </c>
    </row>
    <row r="196" spans="6:8">
      <c r="F196">
        <v>0.58199999999999996</v>
      </c>
      <c r="G196">
        <v>0</v>
      </c>
      <c r="H196">
        <v>0.98308556154999993</v>
      </c>
    </row>
    <row r="197" spans="6:8">
      <c r="F197">
        <v>0.58399999999999996</v>
      </c>
      <c r="G197">
        <v>0</v>
      </c>
      <c r="H197">
        <v>0.98309751873636375</v>
      </c>
    </row>
    <row r="198" spans="6:8">
      <c r="F198">
        <v>0.58599999999999997</v>
      </c>
      <c r="G198">
        <v>0</v>
      </c>
      <c r="H198">
        <v>0.98312084063181826</v>
      </c>
    </row>
    <row r="199" spans="6:8">
      <c r="F199">
        <v>0.58799999999999997</v>
      </c>
      <c r="G199">
        <v>0</v>
      </c>
      <c r="H199">
        <v>0.98310633081818177</v>
      </c>
    </row>
    <row r="200" spans="6:8">
      <c r="F200">
        <v>0.59</v>
      </c>
      <c r="G200">
        <v>0</v>
      </c>
      <c r="H200">
        <v>0.98309896962727283</v>
      </c>
    </row>
    <row r="201" spans="6:8">
      <c r="F201">
        <v>0.59199999999999997</v>
      </c>
      <c r="G201">
        <v>0</v>
      </c>
      <c r="H201">
        <v>0.98307755451363632</v>
      </c>
    </row>
    <row r="202" spans="6:8">
      <c r="F202">
        <v>0.59399999999999997</v>
      </c>
      <c r="G202">
        <v>0</v>
      </c>
      <c r="H202">
        <v>0.98307013271818167</v>
      </c>
    </row>
    <row r="203" spans="6:8">
      <c r="F203">
        <v>0.59599999999999997</v>
      </c>
      <c r="G203">
        <v>0</v>
      </c>
      <c r="H203">
        <v>0.98305406165909082</v>
      </c>
    </row>
    <row r="204" spans="6:8">
      <c r="F204">
        <v>0.59799999999999998</v>
      </c>
      <c r="G204">
        <v>0</v>
      </c>
      <c r="H204">
        <v>0.98305831392727272</v>
      </c>
    </row>
    <row r="205" spans="6:8">
      <c r="F205">
        <v>0.6</v>
      </c>
      <c r="G205">
        <v>0</v>
      </c>
      <c r="H205">
        <v>0.98305355601818178</v>
      </c>
    </row>
    <row r="206" spans="6:8">
      <c r="F206">
        <v>0.60199999999999998</v>
      </c>
      <c r="G206">
        <v>0</v>
      </c>
      <c r="H206">
        <v>0.98304742319999971</v>
      </c>
    </row>
    <row r="207" spans="6:8">
      <c r="F207">
        <v>0.60399999999999998</v>
      </c>
      <c r="G207">
        <v>0</v>
      </c>
      <c r="H207">
        <v>0.98302368430909115</v>
      </c>
    </row>
    <row r="208" spans="6:8">
      <c r="F208">
        <v>0.60599999999999998</v>
      </c>
      <c r="G208">
        <v>0</v>
      </c>
      <c r="H208">
        <v>0.98299051281818162</v>
      </c>
    </row>
    <row r="209" spans="6:8">
      <c r="F209">
        <v>0.60799999999999998</v>
      </c>
      <c r="G209">
        <v>0</v>
      </c>
      <c r="H209">
        <v>0.98296606838181821</v>
      </c>
    </row>
    <row r="210" spans="6:8">
      <c r="F210">
        <v>0.61</v>
      </c>
      <c r="G210">
        <v>0</v>
      </c>
      <c r="H210">
        <v>0.98296568123636363</v>
      </c>
    </row>
    <row r="211" spans="6:8">
      <c r="F211">
        <v>0.61199999999999999</v>
      </c>
      <c r="G211">
        <v>0</v>
      </c>
      <c r="H211">
        <v>0.98294512815454549</v>
      </c>
    </row>
    <row r="212" spans="6:8">
      <c r="F212">
        <v>0.61399999999999999</v>
      </c>
      <c r="G212">
        <v>0</v>
      </c>
      <c r="H212">
        <v>0.98291787781818185</v>
      </c>
    </row>
    <row r="213" spans="6:8">
      <c r="F213">
        <v>0.61599999999999999</v>
      </c>
      <c r="G213">
        <v>0</v>
      </c>
      <c r="H213">
        <v>0.98289930930909108</v>
      </c>
    </row>
    <row r="214" spans="6:8">
      <c r="F214">
        <v>0.61799999999999999</v>
      </c>
      <c r="G214">
        <v>0</v>
      </c>
      <c r="H214">
        <v>0.98286909568181802</v>
      </c>
    </row>
    <row r="215" spans="6:8">
      <c r="F215">
        <v>0.62</v>
      </c>
      <c r="G215">
        <v>0</v>
      </c>
      <c r="H215">
        <v>0.98283440274545453</v>
      </c>
    </row>
    <row r="216" spans="6:8">
      <c r="F216">
        <v>0.622</v>
      </c>
      <c r="G216">
        <v>0</v>
      </c>
      <c r="H216">
        <v>0.98280166543636371</v>
      </c>
    </row>
    <row r="217" spans="6:8">
      <c r="F217">
        <v>0.624</v>
      </c>
      <c r="G217">
        <v>0</v>
      </c>
      <c r="H217">
        <v>0.98275279646363634</v>
      </c>
    </row>
    <row r="218" spans="6:8">
      <c r="F218">
        <v>0.626</v>
      </c>
      <c r="G218">
        <v>0</v>
      </c>
      <c r="H218">
        <v>0.98273156859090904</v>
      </c>
    </row>
    <row r="219" spans="6:8">
      <c r="F219">
        <v>0.628</v>
      </c>
      <c r="G219">
        <v>0</v>
      </c>
      <c r="H219">
        <v>0.98272493646363612</v>
      </c>
    </row>
    <row r="220" spans="6:8">
      <c r="F220">
        <v>0.63</v>
      </c>
      <c r="G220">
        <v>0</v>
      </c>
      <c r="H220">
        <v>0.98267700007727266</v>
      </c>
    </row>
    <row r="221" spans="6:8">
      <c r="F221">
        <v>0.63200000000000001</v>
      </c>
      <c r="G221">
        <v>0</v>
      </c>
      <c r="H221">
        <v>0.98263347063636364</v>
      </c>
    </row>
    <row r="222" spans="6:8">
      <c r="F222">
        <v>0.63400000000000001</v>
      </c>
      <c r="G222">
        <v>0</v>
      </c>
      <c r="H222">
        <v>0.98259436984999993</v>
      </c>
    </row>
    <row r="223" spans="6:8">
      <c r="F223">
        <v>0.63600000000000001</v>
      </c>
      <c r="G223">
        <v>0</v>
      </c>
      <c r="H223">
        <v>0.98256248914545452</v>
      </c>
    </row>
    <row r="224" spans="6:8">
      <c r="F224">
        <v>0.63800000000000001</v>
      </c>
      <c r="G224">
        <v>0</v>
      </c>
      <c r="H224">
        <v>0.98252727157272735</v>
      </c>
    </row>
    <row r="225" spans="6:8">
      <c r="F225">
        <v>0.64</v>
      </c>
      <c r="G225">
        <v>0</v>
      </c>
      <c r="H225">
        <v>0.98249974444545463</v>
      </c>
    </row>
    <row r="226" spans="6:8">
      <c r="F226">
        <v>0.64200000000000002</v>
      </c>
      <c r="G226">
        <v>0</v>
      </c>
      <c r="H226">
        <v>0.9824473341772727</v>
      </c>
    </row>
    <row r="227" spans="6:8">
      <c r="F227">
        <v>0.64400000000000002</v>
      </c>
      <c r="G227">
        <v>0</v>
      </c>
      <c r="H227">
        <v>0.98241465747272727</v>
      </c>
    </row>
    <row r="228" spans="6:8">
      <c r="F228">
        <v>0.64600000000000002</v>
      </c>
      <c r="G228">
        <v>0</v>
      </c>
      <c r="H228">
        <v>0.98240692813181818</v>
      </c>
    </row>
    <row r="229" spans="6:8">
      <c r="F229">
        <v>0.64800000000000002</v>
      </c>
      <c r="G229">
        <v>0</v>
      </c>
      <c r="H229">
        <v>0.98238004504090892</v>
      </c>
    </row>
    <row r="230" spans="6:8">
      <c r="F230">
        <v>0.65</v>
      </c>
      <c r="G230">
        <v>0</v>
      </c>
      <c r="H230">
        <v>0.98232753979545451</v>
      </c>
    </row>
    <row r="231" spans="6:8">
      <c r="F231">
        <v>0.65200000000000002</v>
      </c>
      <c r="G231">
        <v>0</v>
      </c>
      <c r="H231">
        <v>0.98229874630454528</v>
      </c>
    </row>
    <row r="232" spans="6:8">
      <c r="F232">
        <v>0.65400000000000003</v>
      </c>
      <c r="G232">
        <v>0</v>
      </c>
      <c r="H232">
        <v>0.98226112445000002</v>
      </c>
    </row>
    <row r="233" spans="6:8">
      <c r="F233">
        <v>0.65600000000000003</v>
      </c>
      <c r="G233">
        <v>0</v>
      </c>
      <c r="H233">
        <v>0.98222383004090918</v>
      </c>
    </row>
    <row r="234" spans="6:8">
      <c r="F234">
        <v>0.65800000000000003</v>
      </c>
      <c r="G234">
        <v>0</v>
      </c>
      <c r="H234">
        <v>0.98219078247272729</v>
      </c>
    </row>
    <row r="235" spans="6:8">
      <c r="F235">
        <v>0.66</v>
      </c>
      <c r="G235">
        <v>0</v>
      </c>
      <c r="H235">
        <v>0.98214651582727286</v>
      </c>
    </row>
    <row r="236" spans="6:8">
      <c r="F236">
        <v>0.66200000000000003</v>
      </c>
      <c r="G236">
        <v>0</v>
      </c>
      <c r="H236">
        <v>0.98209544428636364</v>
      </c>
    </row>
    <row r="237" spans="6:8">
      <c r="F237">
        <v>0.66400000000000003</v>
      </c>
      <c r="G237">
        <v>0</v>
      </c>
      <c r="H237">
        <v>0.98208743815454536</v>
      </c>
    </row>
    <row r="238" spans="6:8">
      <c r="F238">
        <v>0.66600000000000004</v>
      </c>
      <c r="G238">
        <v>0</v>
      </c>
      <c r="H238">
        <v>0.98205701829090908</v>
      </c>
    </row>
    <row r="239" spans="6:8">
      <c r="F239">
        <v>0.66800000000000004</v>
      </c>
      <c r="G239">
        <v>0</v>
      </c>
      <c r="H239">
        <v>0.98201527080454554</v>
      </c>
    </row>
    <row r="240" spans="6:8">
      <c r="F240">
        <v>0.67</v>
      </c>
      <c r="G240">
        <v>0</v>
      </c>
      <c r="H240">
        <v>0.98198456962727265</v>
      </c>
    </row>
    <row r="241" spans="6:8">
      <c r="F241">
        <v>0.67200000000000004</v>
      </c>
      <c r="G241">
        <v>0</v>
      </c>
      <c r="H241">
        <v>0.9819544545954545</v>
      </c>
    </row>
    <row r="242" spans="6:8">
      <c r="F242">
        <v>0.67400000000000004</v>
      </c>
      <c r="G242">
        <v>0</v>
      </c>
      <c r="H242">
        <v>0.98193579472727266</v>
      </c>
    </row>
    <row r="243" spans="6:8">
      <c r="F243">
        <v>0.67600000000000005</v>
      </c>
      <c r="G243">
        <v>0</v>
      </c>
      <c r="H243">
        <v>0.9819244851954545</v>
      </c>
    </row>
    <row r="244" spans="6:8">
      <c r="F244">
        <v>0.67800000000000005</v>
      </c>
      <c r="G244">
        <v>0</v>
      </c>
      <c r="H244">
        <v>0.98192318355454544</v>
      </c>
    </row>
    <row r="245" spans="6:8">
      <c r="F245">
        <v>0.68</v>
      </c>
      <c r="G245">
        <v>0</v>
      </c>
      <c r="H245">
        <v>0.98192486962727288</v>
      </c>
    </row>
    <row r="246" spans="6:8">
      <c r="F246">
        <v>0.68200000000000005</v>
      </c>
      <c r="G246">
        <v>0</v>
      </c>
      <c r="H246">
        <v>0.98188795241363636</v>
      </c>
    </row>
    <row r="247" spans="6:8">
      <c r="F247">
        <v>0.68400000000000005</v>
      </c>
      <c r="G247">
        <v>0</v>
      </c>
      <c r="H247">
        <v>0.98187425759545433</v>
      </c>
    </row>
    <row r="248" spans="6:8">
      <c r="F248">
        <v>0.68600000000000005</v>
      </c>
      <c r="G248">
        <v>0</v>
      </c>
      <c r="H248">
        <v>0.98183848553636355</v>
      </c>
    </row>
    <row r="249" spans="6:8">
      <c r="F249">
        <v>0.68799999999999994</v>
      </c>
      <c r="G249">
        <v>0</v>
      </c>
      <c r="H249">
        <v>0.98180213728181809</v>
      </c>
    </row>
    <row r="250" spans="6:8">
      <c r="F250">
        <v>0.69</v>
      </c>
      <c r="G250">
        <v>0</v>
      </c>
      <c r="H250">
        <v>0.98176717026818183</v>
      </c>
    </row>
    <row r="251" spans="6:8">
      <c r="F251">
        <v>0.69199999999999995</v>
      </c>
      <c r="G251">
        <v>0</v>
      </c>
      <c r="H251">
        <v>0.981738452759091</v>
      </c>
    </row>
    <row r="252" spans="6:8">
      <c r="F252">
        <v>0.69399999999999995</v>
      </c>
      <c r="G252">
        <v>0</v>
      </c>
      <c r="H252">
        <v>0.98171835104545446</v>
      </c>
    </row>
    <row r="253" spans="6:8">
      <c r="F253">
        <v>0.69599999999999995</v>
      </c>
      <c r="G253">
        <v>0</v>
      </c>
      <c r="H253">
        <v>0.98167727925454562</v>
      </c>
    </row>
    <row r="254" spans="6:8">
      <c r="F254">
        <v>0.69799999999999995</v>
      </c>
      <c r="G254">
        <v>0</v>
      </c>
      <c r="H254">
        <v>0.98162339095909079</v>
      </c>
    </row>
    <row r="255" spans="6:8">
      <c r="F255">
        <v>0.7</v>
      </c>
      <c r="G255">
        <v>0</v>
      </c>
      <c r="H255">
        <v>0.98156605634545457</v>
      </c>
    </row>
    <row r="256" spans="6:8">
      <c r="F256">
        <v>0.70199999999999996</v>
      </c>
      <c r="G256">
        <v>0</v>
      </c>
      <c r="H256">
        <v>0.98150005256818174</v>
      </c>
    </row>
    <row r="257" spans="6:8">
      <c r="F257">
        <v>0.70399999999999996</v>
      </c>
      <c r="G257">
        <v>0</v>
      </c>
      <c r="H257">
        <v>0.98146004633181816</v>
      </c>
    </row>
    <row r="258" spans="6:8">
      <c r="F258">
        <v>0.70599999999999996</v>
      </c>
      <c r="G258">
        <v>0</v>
      </c>
      <c r="H258">
        <v>0.98138457467727269</v>
      </c>
    </row>
    <row r="259" spans="6:8">
      <c r="F259">
        <v>0.70799999999999996</v>
      </c>
      <c r="G259">
        <v>0</v>
      </c>
      <c r="H259">
        <v>0.98132579369545458</v>
      </c>
    </row>
    <row r="260" spans="6:8">
      <c r="F260">
        <v>0.71</v>
      </c>
      <c r="G260">
        <v>0</v>
      </c>
      <c r="H260">
        <v>0.98128892804090895</v>
      </c>
    </row>
    <row r="261" spans="6:8">
      <c r="F261">
        <v>0.71199999999999997</v>
      </c>
      <c r="G261">
        <v>0</v>
      </c>
      <c r="H261">
        <v>0.98124876441363629</v>
      </c>
    </row>
    <row r="262" spans="6:8">
      <c r="F262">
        <v>0.71399999999999997</v>
      </c>
      <c r="G262">
        <v>0</v>
      </c>
      <c r="H262">
        <v>0.98119002413636369</v>
      </c>
    </row>
    <row r="263" spans="6:8">
      <c r="F263">
        <v>0.71599999999999997</v>
      </c>
      <c r="G263">
        <v>0</v>
      </c>
      <c r="H263">
        <v>0.98113768984999994</v>
      </c>
    </row>
    <row r="264" spans="6:8">
      <c r="F264">
        <v>0.71799999999999997</v>
      </c>
      <c r="G264">
        <v>0</v>
      </c>
      <c r="H264">
        <v>0.98108283007272723</v>
      </c>
    </row>
    <row r="265" spans="6:8">
      <c r="F265">
        <v>0.72</v>
      </c>
      <c r="G265">
        <v>0</v>
      </c>
      <c r="H265">
        <v>0.98103441789545442</v>
      </c>
    </row>
    <row r="266" spans="6:8">
      <c r="F266">
        <v>0.72199999999999998</v>
      </c>
      <c r="G266">
        <v>0</v>
      </c>
      <c r="H266">
        <v>0.98098158972727278</v>
      </c>
    </row>
    <row r="267" spans="6:8">
      <c r="F267">
        <v>0.72399999999999998</v>
      </c>
      <c r="G267">
        <v>0</v>
      </c>
      <c r="H267">
        <v>0.98094407551363627</v>
      </c>
    </row>
    <row r="268" spans="6:8">
      <c r="F268">
        <v>0.72599999999999998</v>
      </c>
      <c r="G268">
        <v>0</v>
      </c>
      <c r="H268">
        <v>0.9809129184454547</v>
      </c>
    </row>
    <row r="269" spans="6:8">
      <c r="F269">
        <v>0.72799999999999998</v>
      </c>
      <c r="G269">
        <v>0</v>
      </c>
      <c r="H269">
        <v>0.98090093502727271</v>
      </c>
    </row>
    <row r="270" spans="6:8">
      <c r="F270">
        <v>0.73</v>
      </c>
      <c r="G270">
        <v>0</v>
      </c>
      <c r="H270">
        <v>0.98086106718636357</v>
      </c>
    </row>
    <row r="271" spans="6:8">
      <c r="F271">
        <v>0.73199999999999998</v>
      </c>
      <c r="G271">
        <v>0</v>
      </c>
      <c r="H271">
        <v>0.98080900878636368</v>
      </c>
    </row>
    <row r="272" spans="6:8">
      <c r="F272">
        <v>0.73399999999999999</v>
      </c>
      <c r="G272">
        <v>0</v>
      </c>
      <c r="H272">
        <v>0.98075891867727283</v>
      </c>
    </row>
    <row r="273" spans="6:8">
      <c r="F273">
        <v>0.73599999999999999</v>
      </c>
      <c r="G273">
        <v>0</v>
      </c>
      <c r="H273">
        <v>0.98072798322272736</v>
      </c>
    </row>
    <row r="274" spans="6:8">
      <c r="F274">
        <v>0.73799999999999999</v>
      </c>
      <c r="G274">
        <v>0</v>
      </c>
      <c r="H274">
        <v>0.98068541440909085</v>
      </c>
    </row>
    <row r="275" spans="6:8">
      <c r="F275">
        <v>0.74</v>
      </c>
      <c r="G275">
        <v>0</v>
      </c>
      <c r="H275">
        <v>0.98064579531818186</v>
      </c>
    </row>
    <row r="276" spans="6:8">
      <c r="F276">
        <v>0.74199999999999999</v>
      </c>
      <c r="G276">
        <v>0</v>
      </c>
      <c r="H276">
        <v>0.98060236899545439</v>
      </c>
    </row>
    <row r="277" spans="6:8">
      <c r="F277">
        <v>0.74399999999999999</v>
      </c>
      <c r="G277">
        <v>0</v>
      </c>
      <c r="H277">
        <v>0.98055563746363661</v>
      </c>
    </row>
    <row r="278" spans="6:8">
      <c r="F278">
        <v>0.746</v>
      </c>
      <c r="G278">
        <v>0</v>
      </c>
      <c r="H278">
        <v>0.9804996063000001</v>
      </c>
    </row>
    <row r="279" spans="6:8">
      <c r="F279">
        <v>0.748</v>
      </c>
      <c r="G279">
        <v>0</v>
      </c>
      <c r="H279">
        <v>0.98045437088636378</v>
      </c>
    </row>
    <row r="280" spans="6:8">
      <c r="F280">
        <v>0.75</v>
      </c>
      <c r="G280">
        <v>0</v>
      </c>
      <c r="H280">
        <v>0.98041131271363635</v>
      </c>
    </row>
    <row r="281" spans="6:8">
      <c r="F281">
        <v>0.752</v>
      </c>
      <c r="G281">
        <v>0</v>
      </c>
      <c r="H281">
        <v>0.98038830650454534</v>
      </c>
    </row>
    <row r="282" spans="6:8">
      <c r="F282">
        <v>0.754</v>
      </c>
      <c r="G282">
        <v>0</v>
      </c>
      <c r="H282">
        <v>0.98035432363636366</v>
      </c>
    </row>
    <row r="283" spans="6:8">
      <c r="F283">
        <v>0.75600000000000001</v>
      </c>
      <c r="G283">
        <v>0</v>
      </c>
      <c r="H283">
        <v>0.98030972049999998</v>
      </c>
    </row>
    <row r="284" spans="6:8">
      <c r="F284">
        <v>0.75800000000000001</v>
      </c>
      <c r="G284">
        <v>0</v>
      </c>
      <c r="H284">
        <v>0.98026124500454548</v>
      </c>
    </row>
    <row r="285" spans="6:8">
      <c r="F285">
        <v>0.76</v>
      </c>
      <c r="G285">
        <v>0</v>
      </c>
      <c r="H285">
        <v>0.98021674679545456</v>
      </c>
    </row>
    <row r="286" spans="6:8">
      <c r="F286">
        <v>0.76200000000000001</v>
      </c>
      <c r="G286">
        <v>0</v>
      </c>
      <c r="H286">
        <v>0.98016119956363634</v>
      </c>
    </row>
    <row r="287" spans="6:8">
      <c r="F287">
        <v>0.76400000000000001</v>
      </c>
      <c r="G287">
        <v>0</v>
      </c>
      <c r="H287">
        <v>0.98012028335454549</v>
      </c>
    </row>
    <row r="288" spans="6:8">
      <c r="F288">
        <v>0.76600000000000001</v>
      </c>
      <c r="G288">
        <v>0</v>
      </c>
      <c r="H288">
        <v>0.98010231455909091</v>
      </c>
    </row>
    <row r="289" spans="6:8">
      <c r="F289">
        <v>0.76800000000000002</v>
      </c>
      <c r="G289">
        <v>0</v>
      </c>
      <c r="H289">
        <v>0.98007695200909095</v>
      </c>
    </row>
    <row r="290" spans="6:8">
      <c r="F290">
        <v>0.77</v>
      </c>
      <c r="G290">
        <v>0</v>
      </c>
      <c r="H290">
        <v>0.98003711130454563</v>
      </c>
    </row>
    <row r="291" spans="6:8">
      <c r="F291">
        <v>0.77200000000000002</v>
      </c>
      <c r="G291">
        <v>0</v>
      </c>
      <c r="H291">
        <v>0.97999199709999996</v>
      </c>
    </row>
    <row r="292" spans="6:8">
      <c r="F292">
        <v>0.77400000000000002</v>
      </c>
      <c r="G292">
        <v>0</v>
      </c>
      <c r="H292">
        <v>0.97993119807727269</v>
      </c>
    </row>
    <row r="293" spans="6:8">
      <c r="F293">
        <v>0.77600000000000002</v>
      </c>
      <c r="G293">
        <v>0</v>
      </c>
      <c r="H293">
        <v>0.97986740500909064</v>
      </c>
    </row>
    <row r="294" spans="6:8">
      <c r="F294">
        <v>0.77800000000000002</v>
      </c>
      <c r="G294">
        <v>0</v>
      </c>
      <c r="H294">
        <v>0.97981496489090902</v>
      </c>
    </row>
    <row r="295" spans="6:8">
      <c r="F295">
        <v>0.78</v>
      </c>
      <c r="G295">
        <v>0</v>
      </c>
      <c r="H295">
        <v>0.97976800722272728</v>
      </c>
    </row>
    <row r="296" spans="6:8">
      <c r="F296">
        <v>0.78200000000000003</v>
      </c>
      <c r="G296">
        <v>0</v>
      </c>
      <c r="H296">
        <v>0.97972858984545441</v>
      </c>
    </row>
    <row r="297" spans="6:8">
      <c r="F297">
        <v>0.78400000000000003</v>
      </c>
      <c r="G297">
        <v>0</v>
      </c>
      <c r="H297">
        <v>0.97970167600000013</v>
      </c>
    </row>
    <row r="298" spans="6:8">
      <c r="F298">
        <v>0.78600000000000003</v>
      </c>
      <c r="G298">
        <v>0</v>
      </c>
      <c r="H298">
        <v>0.97965856084090897</v>
      </c>
    </row>
    <row r="299" spans="6:8">
      <c r="F299">
        <v>0.78800000000000003</v>
      </c>
      <c r="G299">
        <v>0</v>
      </c>
      <c r="H299">
        <v>0.97960485526363639</v>
      </c>
    </row>
    <row r="300" spans="6:8">
      <c r="F300">
        <v>0.79</v>
      </c>
      <c r="G300">
        <v>0</v>
      </c>
      <c r="H300">
        <v>0.9795583788136365</v>
      </c>
    </row>
    <row r="301" spans="6:8">
      <c r="F301">
        <v>0.79200000000000004</v>
      </c>
      <c r="G301">
        <v>0</v>
      </c>
      <c r="H301">
        <v>0.97952423403181821</v>
      </c>
    </row>
    <row r="302" spans="6:8">
      <c r="F302">
        <v>0.79400000000000004</v>
      </c>
      <c r="G302">
        <v>0</v>
      </c>
      <c r="H302">
        <v>0.97949301274090927</v>
      </c>
    </row>
    <row r="303" spans="6:8">
      <c r="F303">
        <v>0.79600000000000004</v>
      </c>
      <c r="G303">
        <v>0</v>
      </c>
      <c r="H303">
        <v>0.97945394270909103</v>
      </c>
    </row>
    <row r="304" spans="6:8">
      <c r="F304">
        <v>0.79800000000000004</v>
      </c>
      <c r="G304">
        <v>0</v>
      </c>
      <c r="H304">
        <v>0.97942627628181822</v>
      </c>
    </row>
    <row r="305" spans="6:8">
      <c r="F305">
        <v>0.8</v>
      </c>
      <c r="G305">
        <v>0</v>
      </c>
      <c r="H305">
        <v>0.97937506272727282</v>
      </c>
    </row>
    <row r="306" spans="6:8">
      <c r="F306">
        <v>0.80200000000000005</v>
      </c>
      <c r="G306">
        <v>0</v>
      </c>
      <c r="H306">
        <v>0.97931774168181851</v>
      </c>
    </row>
    <row r="307" spans="6:8">
      <c r="F307">
        <v>0.80400000000000005</v>
      </c>
      <c r="G307">
        <v>0</v>
      </c>
      <c r="H307">
        <v>0.97925634565909092</v>
      </c>
    </row>
    <row r="308" spans="6:8">
      <c r="F308">
        <v>0.80600000000000005</v>
      </c>
      <c r="G308">
        <v>0</v>
      </c>
      <c r="H308">
        <v>0.97920463822272719</v>
      </c>
    </row>
    <row r="309" spans="6:8">
      <c r="F309">
        <v>0.80800000000000005</v>
      </c>
      <c r="G309">
        <v>0</v>
      </c>
      <c r="H309">
        <v>0.97914959844090899</v>
      </c>
    </row>
    <row r="310" spans="6:8">
      <c r="F310">
        <v>0.81</v>
      </c>
      <c r="G310">
        <v>0</v>
      </c>
      <c r="H310">
        <v>0.97908116143636359</v>
      </c>
    </row>
    <row r="311" spans="6:8">
      <c r="F311">
        <v>0.81200000000000006</v>
      </c>
      <c r="G311">
        <v>0</v>
      </c>
      <c r="H311">
        <v>0.97902480554090898</v>
      </c>
    </row>
    <row r="312" spans="6:8">
      <c r="F312">
        <v>0.81399999999999995</v>
      </c>
      <c r="G312">
        <v>0</v>
      </c>
      <c r="H312">
        <v>0.9789494659500001</v>
      </c>
    </row>
    <row r="313" spans="6:8">
      <c r="F313">
        <v>0.81599999999999995</v>
      </c>
      <c r="G313">
        <v>0</v>
      </c>
      <c r="H313">
        <v>0.97887420414999982</v>
      </c>
    </row>
    <row r="314" spans="6:8">
      <c r="F314">
        <v>0.81799999999999995</v>
      </c>
      <c r="G314">
        <v>0</v>
      </c>
      <c r="H314">
        <v>0.97881142779090891</v>
      </c>
    </row>
    <row r="315" spans="6:8">
      <c r="F315">
        <v>0.82</v>
      </c>
      <c r="G315">
        <v>0</v>
      </c>
      <c r="H315">
        <v>0.97873756170454573</v>
      </c>
    </row>
    <row r="316" spans="6:8">
      <c r="F316">
        <v>0.82199999999999995</v>
      </c>
      <c r="G316">
        <v>0</v>
      </c>
      <c r="H316">
        <v>0.9786902331727273</v>
      </c>
    </row>
    <row r="317" spans="6:8">
      <c r="F317">
        <v>0.82399999999999995</v>
      </c>
      <c r="G317">
        <v>0</v>
      </c>
      <c r="H317">
        <v>0.9786371426863637</v>
      </c>
    </row>
    <row r="318" spans="6:8">
      <c r="F318">
        <v>0.82599999999999996</v>
      </c>
      <c r="G318">
        <v>0</v>
      </c>
      <c r="H318">
        <v>0.97856830858636368</v>
      </c>
    </row>
    <row r="319" spans="6:8">
      <c r="F319">
        <v>0.82799999999999996</v>
      </c>
      <c r="G319">
        <v>0</v>
      </c>
      <c r="H319">
        <v>0.97847940262272726</v>
      </c>
    </row>
    <row r="320" spans="6:8">
      <c r="F320">
        <v>0.83</v>
      </c>
      <c r="G320">
        <v>0</v>
      </c>
      <c r="H320">
        <v>0.97838565010454559</v>
      </c>
    </row>
    <row r="321" spans="6:8">
      <c r="F321">
        <v>0.83199999999999996</v>
      </c>
      <c r="G321">
        <v>0</v>
      </c>
      <c r="H321">
        <v>0.9782880577909091</v>
      </c>
    </row>
    <row r="322" spans="6:8">
      <c r="F322">
        <v>0.83399999999999996</v>
      </c>
      <c r="G322">
        <v>0</v>
      </c>
      <c r="H322">
        <v>0.97818302016363612</v>
      </c>
    </row>
    <row r="323" spans="6:8">
      <c r="F323">
        <v>0.83599999999999997</v>
      </c>
      <c r="G323">
        <v>0</v>
      </c>
      <c r="H323">
        <v>0.97812748469090915</v>
      </c>
    </row>
    <row r="324" spans="6:8">
      <c r="F324">
        <v>0.83799999999999997</v>
      </c>
      <c r="G324">
        <v>0</v>
      </c>
      <c r="H324">
        <v>0.97804645098636356</v>
      </c>
    </row>
    <row r="325" spans="6:8">
      <c r="F325">
        <v>0.84</v>
      </c>
      <c r="G325">
        <v>0</v>
      </c>
      <c r="H325">
        <v>0.97795810674545436</v>
      </c>
    </row>
    <row r="326" spans="6:8">
      <c r="F326">
        <v>0.84199999999999997</v>
      </c>
      <c r="G326">
        <v>0</v>
      </c>
      <c r="H326">
        <v>0.97786816507727281</v>
      </c>
    </row>
    <row r="327" spans="6:8">
      <c r="F327">
        <v>0.84399999999999997</v>
      </c>
      <c r="G327">
        <v>0</v>
      </c>
      <c r="H327">
        <v>0.97778562711363648</v>
      </c>
    </row>
    <row r="328" spans="6:8">
      <c r="F328">
        <v>0.84599999999999997</v>
      </c>
      <c r="G328">
        <v>0</v>
      </c>
      <c r="H328">
        <v>0.977768239940909</v>
      </c>
    </row>
    <row r="329" spans="6:8">
      <c r="F329">
        <v>0.84799999999999998</v>
      </c>
      <c r="G329">
        <v>0</v>
      </c>
      <c r="H329">
        <v>0.97771641943636367</v>
      </c>
    </row>
    <row r="330" spans="6:8">
      <c r="F330">
        <v>0.85</v>
      </c>
      <c r="G330">
        <v>0</v>
      </c>
      <c r="H330">
        <v>0.97766086677727271</v>
      </c>
    </row>
    <row r="331" spans="6:8">
      <c r="F331">
        <v>0.85199999999999998</v>
      </c>
      <c r="G331">
        <v>0</v>
      </c>
      <c r="H331">
        <v>0.97765586192727283</v>
      </c>
    </row>
    <row r="332" spans="6:8">
      <c r="F332">
        <v>0.85399999999999998</v>
      </c>
      <c r="G332">
        <v>0</v>
      </c>
      <c r="H332">
        <v>0.97765676285454561</v>
      </c>
    </row>
    <row r="333" spans="6:8">
      <c r="F333">
        <v>0.85599999999999998</v>
      </c>
      <c r="G333">
        <v>0</v>
      </c>
      <c r="H333">
        <v>0.97761855304545453</v>
      </c>
    </row>
    <row r="334" spans="6:8">
      <c r="F334">
        <v>0.85799999999999998</v>
      </c>
      <c r="G334">
        <v>0</v>
      </c>
      <c r="H334">
        <v>0.97755142763181813</v>
      </c>
    </row>
    <row r="335" spans="6:8">
      <c r="F335">
        <v>0.86</v>
      </c>
      <c r="G335">
        <v>0</v>
      </c>
      <c r="H335">
        <v>0.9775264667000001</v>
      </c>
    </row>
    <row r="336" spans="6:8">
      <c r="F336">
        <v>0.86199999999999999</v>
      </c>
      <c r="G336">
        <v>0</v>
      </c>
      <c r="H336">
        <v>0.97749028307272712</v>
      </c>
    </row>
    <row r="337" spans="6:8">
      <c r="F337">
        <v>0.86399999999999999</v>
      </c>
      <c r="G337">
        <v>0</v>
      </c>
      <c r="H337">
        <v>0.9774535929</v>
      </c>
    </row>
    <row r="338" spans="6:8">
      <c r="F338">
        <v>0.86599999999999999</v>
      </c>
      <c r="G338">
        <v>0</v>
      </c>
      <c r="H338">
        <v>0.9774184359318181</v>
      </c>
    </row>
    <row r="339" spans="6:8">
      <c r="F339">
        <v>0.86799999999999999</v>
      </c>
      <c r="G339">
        <v>0</v>
      </c>
      <c r="H339">
        <v>0.97729577142727275</v>
      </c>
    </row>
    <row r="340" spans="6:8">
      <c r="F340">
        <v>0.87</v>
      </c>
      <c r="G340">
        <v>0</v>
      </c>
      <c r="H340">
        <v>0.97723359659090914</v>
      </c>
    </row>
    <row r="341" spans="6:8">
      <c r="F341">
        <v>0.872</v>
      </c>
      <c r="G341">
        <v>0</v>
      </c>
      <c r="H341">
        <v>0.97720870259545445</v>
      </c>
    </row>
    <row r="342" spans="6:8">
      <c r="F342">
        <v>0.874</v>
      </c>
      <c r="G342">
        <v>0</v>
      </c>
      <c r="H342">
        <v>0.97713196729090912</v>
      </c>
    </row>
    <row r="343" spans="6:8">
      <c r="F343">
        <v>0.876</v>
      </c>
      <c r="G343">
        <v>0</v>
      </c>
      <c r="H343">
        <v>0.97706013643181822</v>
      </c>
    </row>
    <row r="344" spans="6:8">
      <c r="F344">
        <v>0.878</v>
      </c>
      <c r="G344">
        <v>0</v>
      </c>
      <c r="H344">
        <v>0.97705621432272738</v>
      </c>
    </row>
    <row r="345" spans="6:8">
      <c r="F345">
        <v>0.88</v>
      </c>
      <c r="G345">
        <v>0</v>
      </c>
      <c r="H345">
        <v>0.97701898323181824</v>
      </c>
    </row>
    <row r="346" spans="6:8">
      <c r="F346">
        <v>0.88200000000000001</v>
      </c>
      <c r="G346">
        <v>0</v>
      </c>
      <c r="H346">
        <v>0.97696139805909099</v>
      </c>
    </row>
    <row r="347" spans="6:8">
      <c r="F347">
        <v>0.88400000000000001</v>
      </c>
      <c r="G347">
        <v>0</v>
      </c>
      <c r="H347">
        <v>0.97691606947727261</v>
      </c>
    </row>
    <row r="348" spans="6:8">
      <c r="F348">
        <v>0.88600000000000001</v>
      </c>
      <c r="G348">
        <v>0</v>
      </c>
      <c r="H348">
        <v>0.97686535161363652</v>
      </c>
    </row>
    <row r="349" spans="6:8">
      <c r="F349">
        <v>0.88800000000000001</v>
      </c>
      <c r="G349">
        <v>0</v>
      </c>
      <c r="H349">
        <v>0.97680278872727289</v>
      </c>
    </row>
    <row r="350" spans="6:8">
      <c r="F350">
        <v>0.89</v>
      </c>
      <c r="G350">
        <v>0</v>
      </c>
      <c r="H350">
        <v>0.97675540954090934</v>
      </c>
    </row>
    <row r="351" spans="6:8">
      <c r="F351">
        <v>0.89200000000000002</v>
      </c>
      <c r="G351">
        <v>0</v>
      </c>
      <c r="H351">
        <v>0.97668541038636392</v>
      </c>
    </row>
    <row r="352" spans="6:8">
      <c r="F352">
        <v>0.89400000000000002</v>
      </c>
      <c r="G352">
        <v>0</v>
      </c>
      <c r="H352">
        <v>0.97660734178181829</v>
      </c>
    </row>
    <row r="353" spans="6:8">
      <c r="F353">
        <v>0.89600000000000002</v>
      </c>
      <c r="G353">
        <v>0</v>
      </c>
      <c r="H353">
        <v>0.97655216450909077</v>
      </c>
    </row>
    <row r="354" spans="6:8">
      <c r="F354">
        <v>0.89800000000000002</v>
      </c>
      <c r="G354">
        <v>0</v>
      </c>
      <c r="H354">
        <v>0.97650609420000012</v>
      </c>
    </row>
    <row r="355" spans="6:8">
      <c r="F355">
        <v>0.9</v>
      </c>
      <c r="G355">
        <v>0</v>
      </c>
      <c r="H355">
        <v>0.9764264932954545</v>
      </c>
    </row>
    <row r="356" spans="6:8">
      <c r="F356">
        <v>0.90200000000000002</v>
      </c>
      <c r="G356">
        <v>0</v>
      </c>
      <c r="H356">
        <v>0.97635852936818179</v>
      </c>
    </row>
    <row r="357" spans="6:8">
      <c r="F357">
        <v>0.90400000000000003</v>
      </c>
      <c r="G357">
        <v>0</v>
      </c>
      <c r="H357">
        <v>0.97630591376818188</v>
      </c>
    </row>
    <row r="358" spans="6:8">
      <c r="F358">
        <v>0.90600000000000003</v>
      </c>
      <c r="G358">
        <v>0</v>
      </c>
      <c r="H358">
        <v>0.97626716032727279</v>
      </c>
    </row>
    <row r="359" spans="6:8">
      <c r="F359">
        <v>0.90800000000000003</v>
      </c>
      <c r="G359">
        <v>0</v>
      </c>
      <c r="H359">
        <v>0.9762591876636364</v>
      </c>
    </row>
    <row r="360" spans="6:8">
      <c r="F360">
        <v>0.91</v>
      </c>
      <c r="G360">
        <v>0</v>
      </c>
      <c r="H360">
        <v>0.9762264802045455</v>
      </c>
    </row>
    <row r="361" spans="6:8">
      <c r="F361">
        <v>0.91200000000000003</v>
      </c>
      <c r="G361">
        <v>0</v>
      </c>
      <c r="H361">
        <v>0.97619193199545462</v>
      </c>
    </row>
    <row r="362" spans="6:8">
      <c r="F362">
        <v>0.91400000000000003</v>
      </c>
      <c r="G362">
        <v>0</v>
      </c>
      <c r="H362">
        <v>0.97617272125909083</v>
      </c>
    </row>
    <row r="363" spans="6:8">
      <c r="F363" s="6">
        <v>0.91567832167832153</v>
      </c>
      <c r="G363" s="6">
        <v>4.4399480999999998E-4</v>
      </c>
      <c r="H363" s="6">
        <v>0.97955600518999997</v>
      </c>
    </row>
    <row r="364" spans="6:8">
      <c r="F364">
        <v>0.91600000000000004</v>
      </c>
      <c r="G364">
        <v>0</v>
      </c>
      <c r="H364">
        <v>0.97614246692727269</v>
      </c>
    </row>
    <row r="365" spans="6:8">
      <c r="F365" s="6">
        <v>0.91690209790209765</v>
      </c>
      <c r="G365" s="6">
        <v>2.1857486999999999E-4</v>
      </c>
      <c r="H365" s="6">
        <v>0.97978142512999999</v>
      </c>
    </row>
    <row r="366" spans="6:8">
      <c r="F366">
        <v>0.91800000000000004</v>
      </c>
      <c r="G366">
        <v>0</v>
      </c>
      <c r="H366">
        <v>0.9761047229590909</v>
      </c>
    </row>
    <row r="367" spans="6:8">
      <c r="F367" s="6">
        <v>0.91812587412587376</v>
      </c>
      <c r="G367" s="6">
        <v>2.1468037400000002E-3</v>
      </c>
      <c r="H367" s="6">
        <v>0.97785319626</v>
      </c>
    </row>
    <row r="368" spans="6:8">
      <c r="F368" s="6">
        <v>0.91934965034965033</v>
      </c>
      <c r="G368" s="6">
        <v>1.0218059999999999E-3</v>
      </c>
      <c r="H368" s="6">
        <v>0.97897819399999997</v>
      </c>
    </row>
    <row r="369" spans="6:8">
      <c r="F369">
        <v>0.92</v>
      </c>
      <c r="G369">
        <v>0</v>
      </c>
      <c r="H369">
        <v>0.97606089411363639</v>
      </c>
    </row>
    <row r="370" spans="6:8">
      <c r="F370" s="6">
        <v>0.92057342657342645</v>
      </c>
      <c r="G370" s="6">
        <v>1.4564974666666666E-3</v>
      </c>
      <c r="H370" s="6">
        <v>0.97854350253333333</v>
      </c>
    </row>
    <row r="371" spans="6:8">
      <c r="F371" s="6">
        <v>0.92179720279720256</v>
      </c>
      <c r="G371" s="6">
        <v>1.7738161922222222E-3</v>
      </c>
      <c r="H371" s="6">
        <v>0.9782261838077777</v>
      </c>
    </row>
    <row r="372" spans="6:8">
      <c r="F372">
        <v>0.92200000000000004</v>
      </c>
      <c r="G372">
        <v>0</v>
      </c>
      <c r="H372">
        <v>0.97600844494999994</v>
      </c>
    </row>
    <row r="373" spans="6:8">
      <c r="F373" s="6">
        <v>0.92302097902097868</v>
      </c>
      <c r="G373" s="6">
        <v>2.000521148888889E-3</v>
      </c>
      <c r="H373" s="6">
        <v>0.97799947885111105</v>
      </c>
    </row>
    <row r="374" spans="6:8">
      <c r="F374">
        <v>0.92400000000000004</v>
      </c>
      <c r="G374">
        <v>0</v>
      </c>
      <c r="H374">
        <v>0.97598961231363635</v>
      </c>
    </row>
    <row r="375" spans="6:8">
      <c r="F375" s="6">
        <v>0.92424475524475525</v>
      </c>
      <c r="G375" s="6">
        <v>2.0405620922222226E-3</v>
      </c>
      <c r="H375" s="6">
        <v>0.97795943790777773</v>
      </c>
    </row>
    <row r="376" spans="6:8">
      <c r="F376" s="6">
        <v>0.92546853146853136</v>
      </c>
      <c r="G376" s="6">
        <v>2.3574408811111113E-3</v>
      </c>
      <c r="H376" s="6">
        <v>0.97764255911888887</v>
      </c>
    </row>
    <row r="377" spans="6:8">
      <c r="F377">
        <v>0.92600000000000005</v>
      </c>
      <c r="G377">
        <v>0</v>
      </c>
      <c r="H377">
        <v>0.97593822960909093</v>
      </c>
    </row>
    <row r="378" spans="6:8">
      <c r="F378" s="6">
        <v>0.92669230769230748</v>
      </c>
      <c r="G378" s="6">
        <v>2.2832467900000004E-3</v>
      </c>
      <c r="H378" s="6">
        <v>0.97771675320999996</v>
      </c>
    </row>
    <row r="379" spans="6:8">
      <c r="F379" s="6">
        <v>0.9279160839160836</v>
      </c>
      <c r="G379" s="6">
        <v>2.6634316388888892E-3</v>
      </c>
      <c r="H379" s="6">
        <v>0.97733656836111105</v>
      </c>
    </row>
    <row r="380" spans="6:8">
      <c r="F380">
        <v>0.92800000000000005</v>
      </c>
      <c r="G380">
        <v>0</v>
      </c>
      <c r="H380">
        <v>0.97587867795454553</v>
      </c>
    </row>
    <row r="381" spans="6:8">
      <c r="F381" s="6">
        <v>0.92913986013986016</v>
      </c>
      <c r="G381" s="6">
        <v>3.0682696477777782E-3</v>
      </c>
      <c r="H381" s="6">
        <v>0.97693173035222225</v>
      </c>
    </row>
    <row r="382" spans="6:8">
      <c r="F382">
        <v>0.93</v>
      </c>
      <c r="G382">
        <v>0</v>
      </c>
      <c r="H382">
        <v>0.97582387335454546</v>
      </c>
    </row>
    <row r="383" spans="6:8">
      <c r="F383" s="6">
        <v>0.93036363636363628</v>
      </c>
      <c r="G383" s="6">
        <v>3.3612208144444449E-3</v>
      </c>
      <c r="H383" s="6">
        <v>0.97663877918555553</v>
      </c>
    </row>
    <row r="384" spans="6:8">
      <c r="F384" s="6">
        <v>0.9315874125874124</v>
      </c>
      <c r="G384" s="6">
        <v>3.8792823911111105E-3</v>
      </c>
      <c r="H384" s="6">
        <v>0.97612071760888885</v>
      </c>
    </row>
    <row r="385" spans="6:8">
      <c r="F385">
        <v>0.93200000000000005</v>
      </c>
      <c r="G385">
        <v>0</v>
      </c>
      <c r="H385">
        <v>0.9757861773272728</v>
      </c>
    </row>
    <row r="386" spans="6:8">
      <c r="F386" s="6">
        <v>0.93281118881118852</v>
      </c>
      <c r="G386" s="6">
        <v>4.256960732222221E-3</v>
      </c>
      <c r="H386" s="6">
        <v>0.97574303926777772</v>
      </c>
    </row>
    <row r="387" spans="6:8">
      <c r="F387">
        <v>0.93400000000000005</v>
      </c>
      <c r="G387">
        <v>0</v>
      </c>
      <c r="H387">
        <v>0.97575082588181805</v>
      </c>
    </row>
    <row r="388" spans="6:8">
      <c r="F388" s="6">
        <v>0.93403496503496508</v>
      </c>
      <c r="G388" s="6">
        <v>4.8935314500000004E-3</v>
      </c>
      <c r="H388" s="6">
        <v>0.97510646854999994</v>
      </c>
    </row>
    <row r="389" spans="6:8">
      <c r="F389" s="6">
        <v>0.9352587412587412</v>
      </c>
      <c r="G389" s="6">
        <v>5.7036604299999993E-3</v>
      </c>
      <c r="H389" s="6">
        <v>0.97429633956999995</v>
      </c>
    </row>
    <row r="390" spans="6:8">
      <c r="F390">
        <v>0.93600000000000005</v>
      </c>
      <c r="G390">
        <v>0</v>
      </c>
      <c r="H390">
        <v>0.97569857390909087</v>
      </c>
    </row>
    <row r="391" spans="6:8">
      <c r="F391" s="6">
        <v>0.93648251748251732</v>
      </c>
      <c r="G391" s="6">
        <v>6.3615390477777777E-3</v>
      </c>
      <c r="H391" s="6">
        <v>0.97363846095222217</v>
      </c>
    </row>
    <row r="392" spans="6:8">
      <c r="F392" s="6">
        <v>0.93770629370629344</v>
      </c>
      <c r="G392" s="6">
        <v>7.4296881744444444E-3</v>
      </c>
      <c r="H392" s="6">
        <v>0.97257031182555553</v>
      </c>
    </row>
    <row r="393" spans="6:8">
      <c r="F393" s="6">
        <v>0.93893006993007</v>
      </c>
      <c r="G393" s="6">
        <v>8.4297560311111103E-3</v>
      </c>
      <c r="H393" s="6">
        <v>0.97157024396888891</v>
      </c>
    </row>
    <row r="394" spans="6:8">
      <c r="F394" s="6">
        <v>0.94015384615384612</v>
      </c>
      <c r="G394" s="6">
        <v>9.4875823777777774E-3</v>
      </c>
      <c r="H394" s="6">
        <v>0.97051241762222218</v>
      </c>
    </row>
    <row r="395" spans="6:8">
      <c r="F395" s="6">
        <v>0.94137762237762224</v>
      </c>
      <c r="G395" s="6">
        <v>1.0807032716666665E-2</v>
      </c>
      <c r="H395" s="6">
        <v>0.96919296728333326</v>
      </c>
    </row>
    <row r="396" spans="6:8">
      <c r="F396" s="6">
        <v>0.94260139860139835</v>
      </c>
      <c r="G396" s="6">
        <v>1.2490422923333333E-2</v>
      </c>
      <c r="H396" s="6">
        <v>0.96750957707666663</v>
      </c>
    </row>
    <row r="397" spans="6:8">
      <c r="F397" s="6">
        <v>0.94382517482517492</v>
      </c>
      <c r="G397" s="6">
        <v>1.4283662569999998E-2</v>
      </c>
      <c r="H397" s="6">
        <v>0.96571633742999996</v>
      </c>
    </row>
    <row r="398" spans="6:8">
      <c r="F398" s="6">
        <v>0.94504895104895104</v>
      </c>
      <c r="G398" s="6">
        <v>1.6473725967777776E-2</v>
      </c>
      <c r="H398" s="6">
        <v>0.96352627403222224</v>
      </c>
    </row>
    <row r="399" spans="6:8">
      <c r="F399" s="6">
        <v>0.94627272727272715</v>
      </c>
      <c r="G399" s="6">
        <v>1.8917444678888888E-2</v>
      </c>
      <c r="H399" s="6">
        <v>0.96108255532111109</v>
      </c>
    </row>
    <row r="400" spans="6:8">
      <c r="F400" s="6">
        <v>0.94749650349650327</v>
      </c>
      <c r="G400" s="6">
        <v>2.1966142653333329E-2</v>
      </c>
      <c r="H400" s="6">
        <v>0.95803385734666668</v>
      </c>
    </row>
    <row r="401" spans="6:8">
      <c r="F401" s="6">
        <v>0.94872027972027984</v>
      </c>
      <c r="G401" s="6">
        <v>2.531373037111111E-2</v>
      </c>
      <c r="H401" s="6">
        <v>0.95468626962888892</v>
      </c>
    </row>
    <row r="402" spans="6:8">
      <c r="F402" s="6">
        <v>0.94994405594405595</v>
      </c>
      <c r="G402" s="6">
        <v>2.9305493565555556E-2</v>
      </c>
      <c r="H402" s="6">
        <v>0.95069450643444442</v>
      </c>
    </row>
    <row r="403" spans="6:8">
      <c r="F403" s="6">
        <v>0.95116783216783207</v>
      </c>
      <c r="G403" s="6">
        <v>3.3875910043333332E-2</v>
      </c>
      <c r="H403" s="6">
        <v>0.94612408995666664</v>
      </c>
    </row>
    <row r="404" spans="6:8">
      <c r="F404" s="6">
        <v>0.95239160839160819</v>
      </c>
      <c r="G404" s="6">
        <v>3.9176553354444442E-2</v>
      </c>
      <c r="H404" s="6">
        <v>0.94082344664555551</v>
      </c>
    </row>
    <row r="405" spans="6:8">
      <c r="F405" s="6">
        <v>0.95361538461538475</v>
      </c>
      <c r="G405" s="6">
        <v>4.5143056974444443E-2</v>
      </c>
      <c r="H405" s="6">
        <v>0.93485694302555555</v>
      </c>
    </row>
    <row r="406" spans="6:8">
      <c r="F406" s="6">
        <v>0.95483916083916087</v>
      </c>
      <c r="G406" s="6">
        <v>5.2303471564444447E-2</v>
      </c>
      <c r="H406" s="6">
        <v>0.9276965284355555</v>
      </c>
    </row>
    <row r="407" spans="6:8">
      <c r="F407" s="6">
        <v>0.95606293706293699</v>
      </c>
      <c r="G407" s="6">
        <v>6.0537814028888887E-2</v>
      </c>
      <c r="H407" s="6">
        <v>0.91946218597111107</v>
      </c>
    </row>
    <row r="408" spans="6:8">
      <c r="F408" s="6">
        <v>0.95728671328671289</v>
      </c>
      <c r="G408" s="6">
        <v>7.0143881901111108E-2</v>
      </c>
      <c r="H408" s="6">
        <v>0.90985611809888889</v>
      </c>
    </row>
    <row r="409" spans="6:8">
      <c r="F409" s="6">
        <v>0.95851048951048967</v>
      </c>
      <c r="G409" s="6">
        <v>8.134559948666667E-2</v>
      </c>
      <c r="H409" s="6">
        <v>0.89865440051333334</v>
      </c>
    </row>
    <row r="410" spans="6:8">
      <c r="F410" s="6">
        <v>0.95973426573426579</v>
      </c>
      <c r="G410" s="6">
        <v>9.445009549333333E-2</v>
      </c>
      <c r="H410" s="6">
        <v>0.8855499045066666</v>
      </c>
    </row>
    <row r="411" spans="6:8">
      <c r="F411" s="6">
        <v>0.96095804195804169</v>
      </c>
      <c r="G411" s="6">
        <v>0.10938754876555556</v>
      </c>
      <c r="H411" s="6">
        <v>0.87061245123444442</v>
      </c>
    </row>
    <row r="412" spans="6:8">
      <c r="F412" s="6">
        <v>0.96218181818181781</v>
      </c>
      <c r="G412" s="6">
        <v>0.12662540700888891</v>
      </c>
      <c r="H412" s="6">
        <v>0.85337459299111107</v>
      </c>
    </row>
    <row r="413" spans="6:8">
      <c r="F413" s="6">
        <v>0.96340559440559459</v>
      </c>
      <c r="G413" s="6">
        <v>0.14675513374222224</v>
      </c>
      <c r="H413" s="6">
        <v>0.83324486625777772</v>
      </c>
    </row>
    <row r="414" spans="6:8">
      <c r="F414" s="6">
        <v>0.96462937062937071</v>
      </c>
      <c r="G414" s="6">
        <v>0.16957661735999999</v>
      </c>
      <c r="H414" s="6">
        <v>0.81042338264000002</v>
      </c>
    </row>
    <row r="415" spans="6:8">
      <c r="F415" s="6">
        <v>0.9658531468531466</v>
      </c>
      <c r="G415" s="6">
        <v>0.19566930984444447</v>
      </c>
      <c r="H415" s="6">
        <v>0.78433069015555557</v>
      </c>
    </row>
    <row r="416" spans="6:8">
      <c r="F416" s="6">
        <v>0.96707692307692272</v>
      </c>
      <c r="G416" s="6">
        <v>0.2246358363</v>
      </c>
      <c r="H416" s="6">
        <v>0.75536416369999992</v>
      </c>
    </row>
    <row r="417" spans="6:8">
      <c r="F417" s="6">
        <v>0.96830069930069951</v>
      </c>
      <c r="G417" s="6">
        <v>0.2569271267888889</v>
      </c>
      <c r="H417" s="6">
        <v>0.72307287321111113</v>
      </c>
    </row>
    <row r="418" spans="6:8">
      <c r="F418" s="6">
        <v>0.9695244755244754</v>
      </c>
      <c r="G418" s="6">
        <v>0.29247935932222219</v>
      </c>
      <c r="H418" s="6">
        <v>0.68752064067777785</v>
      </c>
    </row>
    <row r="419" spans="6:8">
      <c r="F419" s="6">
        <v>0.97074825174825152</v>
      </c>
      <c r="G419" s="6">
        <v>0.33126839108888889</v>
      </c>
      <c r="H419" s="6">
        <v>0.64873160891111104</v>
      </c>
    </row>
    <row r="420" spans="6:8">
      <c r="F420" s="6">
        <v>0.97197202797202764</v>
      </c>
      <c r="G420" s="6">
        <v>0.37304027982222226</v>
      </c>
      <c r="H420" s="6">
        <v>0.60695972017777766</v>
      </c>
    </row>
    <row r="421" spans="6:8">
      <c r="F421" s="6">
        <v>0.9731958041958042</v>
      </c>
      <c r="G421" s="6">
        <v>0.41736736298888899</v>
      </c>
      <c r="H421" s="6">
        <v>0.56263263701111099</v>
      </c>
    </row>
    <row r="422" spans="6:8">
      <c r="F422" s="6">
        <v>0.97441958041958032</v>
      </c>
      <c r="G422" s="6">
        <v>0.46290354835555558</v>
      </c>
      <c r="H422" s="6">
        <v>0.5170964516444444</v>
      </c>
    </row>
    <row r="423" spans="6:8">
      <c r="F423">
        <v>0.97564335664335644</v>
      </c>
      <c r="G423">
        <v>0.50967917548888897</v>
      </c>
      <c r="H423">
        <v>0.47032082451111101</v>
      </c>
    </row>
    <row r="424" spans="6:8">
      <c r="F424">
        <v>0.97686713286713256</v>
      </c>
      <c r="G424">
        <v>0.55630555894444456</v>
      </c>
      <c r="H424">
        <v>0.42369444105555543</v>
      </c>
    </row>
    <row r="425" spans="6:8">
      <c r="F425">
        <v>0.97809090909090912</v>
      </c>
      <c r="G425">
        <v>0.60265405866666666</v>
      </c>
      <c r="H425">
        <v>0.37734594133333332</v>
      </c>
    </row>
    <row r="426" spans="6:8">
      <c r="F426">
        <v>0.97931468531468524</v>
      </c>
      <c r="G426">
        <v>0.6477123726777777</v>
      </c>
      <c r="H426">
        <v>0.33228762732222228</v>
      </c>
    </row>
    <row r="427" spans="6:8">
      <c r="F427">
        <v>0.98053846153846136</v>
      </c>
      <c r="G427">
        <v>0.6899819861555555</v>
      </c>
      <c r="H427">
        <v>0.29001801384444448</v>
      </c>
    </row>
    <row r="428" spans="6:8">
      <c r="F428">
        <v>0.98176223776223748</v>
      </c>
      <c r="G428">
        <v>0.72939654032222223</v>
      </c>
      <c r="H428">
        <v>0.25060345967777775</v>
      </c>
    </row>
    <row r="429" spans="6:8">
      <c r="F429">
        <v>0.98298601398601404</v>
      </c>
      <c r="G429">
        <v>0.7651322767444444</v>
      </c>
      <c r="H429">
        <v>0.21486772325555559</v>
      </c>
    </row>
    <row r="430" spans="6:8">
      <c r="F430">
        <v>0.98420979020979016</v>
      </c>
      <c r="G430">
        <v>0.79714759825555559</v>
      </c>
      <c r="H430">
        <v>0.18285240174444439</v>
      </c>
    </row>
    <row r="431" spans="6:8">
      <c r="F431">
        <v>0.98543356643356628</v>
      </c>
      <c r="G431">
        <v>0.82535605535555545</v>
      </c>
      <c r="H431">
        <v>0.15464394464444453</v>
      </c>
    </row>
    <row r="432" spans="6:8">
      <c r="F432">
        <v>0.9866573426573424</v>
      </c>
      <c r="G432">
        <v>0.84972442625555544</v>
      </c>
      <c r="H432">
        <v>0.13027557374444454</v>
      </c>
    </row>
    <row r="433" spans="6:8">
      <c r="F433">
        <v>0.98788111888111896</v>
      </c>
      <c r="G433">
        <v>0.87071072895555546</v>
      </c>
      <c r="H433">
        <v>0.10928927104444452</v>
      </c>
    </row>
    <row r="434" spans="6:8">
      <c r="F434">
        <v>0.98910489510489508</v>
      </c>
      <c r="G434">
        <v>0.88784828185555553</v>
      </c>
      <c r="H434">
        <v>9.215171814444445E-2</v>
      </c>
    </row>
    <row r="435" spans="6:8">
      <c r="F435">
        <v>0.9903286713286712</v>
      </c>
      <c r="G435">
        <v>0.90177775064444432</v>
      </c>
      <c r="H435">
        <v>7.8222249355555662E-2</v>
      </c>
    </row>
    <row r="436" spans="6:8">
      <c r="F436">
        <v>0.99155244755244731</v>
      </c>
      <c r="G436">
        <v>0.91354804144444435</v>
      </c>
      <c r="H436">
        <v>6.6451958555555635E-2</v>
      </c>
    </row>
    <row r="437" spans="6:8">
      <c r="F437">
        <v>0.99277622377622388</v>
      </c>
      <c r="G437">
        <v>0.92281189812222231</v>
      </c>
      <c r="H437">
        <v>5.7188101877777675E-2</v>
      </c>
    </row>
    <row r="438" spans="6:8">
      <c r="F438">
        <v>0.99399999999999999</v>
      </c>
      <c r="G438">
        <v>0.93036384582222231</v>
      </c>
      <c r="H438">
        <v>4.9636154177777669E-2</v>
      </c>
    </row>
    <row r="439" spans="6:8">
      <c r="F439">
        <v>0.99522377622377611</v>
      </c>
      <c r="G439">
        <v>0.93648841857777798</v>
      </c>
      <c r="H439">
        <v>4.3511581422222001E-2</v>
      </c>
    </row>
    <row r="440" spans="6:8">
      <c r="F440">
        <v>0.99644755244755223</v>
      </c>
      <c r="G440">
        <v>0.9417001427555558</v>
      </c>
      <c r="H440">
        <v>3.829985724444418E-2</v>
      </c>
    </row>
    <row r="441" spans="6:8">
      <c r="F441">
        <v>0.99767132867132879</v>
      </c>
      <c r="G441">
        <v>0.94578715006666669</v>
      </c>
      <c r="H441">
        <v>3.4212849933333289E-2</v>
      </c>
    </row>
    <row r="442" spans="6:8">
      <c r="F442">
        <v>0.99889510489510491</v>
      </c>
      <c r="G442">
        <v>0.94888196308888872</v>
      </c>
      <c r="H442">
        <v>3.1118036911111258E-2</v>
      </c>
    </row>
    <row r="443" spans="6:8">
      <c r="F443">
        <v>1.000118881118881</v>
      </c>
      <c r="G443">
        <v>0.95357200620000004</v>
      </c>
      <c r="H443">
        <v>2.6427993799999938E-2</v>
      </c>
    </row>
    <row r="444" spans="6:8">
      <c r="F444">
        <v>1.0013426573426571</v>
      </c>
      <c r="G444">
        <v>0.95669784550000003</v>
      </c>
      <c r="H444">
        <v>2.330215449999995E-2</v>
      </c>
    </row>
    <row r="445" spans="6:8">
      <c r="F445">
        <v>1.0025664335664337</v>
      </c>
      <c r="G445">
        <v>0.95700469970000002</v>
      </c>
      <c r="H445">
        <v>2.2995300299999966E-2</v>
      </c>
    </row>
    <row r="446" spans="6:8">
      <c r="F446">
        <v>1.0037902097902098</v>
      </c>
      <c r="G446">
        <v>0.9584835814999999</v>
      </c>
      <c r="H446">
        <v>2.1516418500000078E-2</v>
      </c>
    </row>
    <row r="447" spans="6:8">
      <c r="F447">
        <v>1.0050139860139859</v>
      </c>
      <c r="G447">
        <v>0.96</v>
      </c>
      <c r="H447">
        <v>0.02</v>
      </c>
    </row>
    <row r="448" spans="6:8">
      <c r="F448">
        <v>1.032</v>
      </c>
      <c r="G448">
        <v>0.96</v>
      </c>
      <c r="H448">
        <f t="shared" ref="H448:H511" si="0">$J$2-G448</f>
        <v>0</v>
      </c>
    </row>
    <row r="449" spans="6:8">
      <c r="F449">
        <v>1.034</v>
      </c>
      <c r="G449">
        <v>0.96</v>
      </c>
      <c r="H449">
        <f t="shared" si="0"/>
        <v>0</v>
      </c>
    </row>
    <row r="450" spans="6:8">
      <c r="F450">
        <v>1.036</v>
      </c>
      <c r="G450">
        <v>0.96</v>
      </c>
      <c r="H450">
        <f t="shared" si="0"/>
        <v>0</v>
      </c>
    </row>
    <row r="451" spans="6:8">
      <c r="F451">
        <v>1.038</v>
      </c>
      <c r="G451">
        <v>0.96</v>
      </c>
      <c r="H451">
        <f t="shared" si="0"/>
        <v>0</v>
      </c>
    </row>
    <row r="452" spans="6:8">
      <c r="F452">
        <v>1.04</v>
      </c>
      <c r="G452">
        <v>0.96</v>
      </c>
      <c r="H452">
        <f t="shared" si="0"/>
        <v>0</v>
      </c>
    </row>
    <row r="453" spans="6:8">
      <c r="F453">
        <v>1.042</v>
      </c>
      <c r="G453">
        <v>0.96</v>
      </c>
      <c r="H453">
        <f t="shared" si="0"/>
        <v>0</v>
      </c>
    </row>
    <row r="454" spans="6:8">
      <c r="F454">
        <v>1.044</v>
      </c>
      <c r="G454">
        <v>0.96</v>
      </c>
      <c r="H454">
        <f t="shared" si="0"/>
        <v>0</v>
      </c>
    </row>
    <row r="455" spans="6:8">
      <c r="F455">
        <v>1.046</v>
      </c>
      <c r="G455">
        <v>0.96</v>
      </c>
      <c r="H455">
        <f t="shared" si="0"/>
        <v>0</v>
      </c>
    </row>
    <row r="456" spans="6:8">
      <c r="F456">
        <v>1.048</v>
      </c>
      <c r="G456">
        <v>0.96</v>
      </c>
      <c r="H456">
        <f t="shared" si="0"/>
        <v>0</v>
      </c>
    </row>
    <row r="457" spans="6:8">
      <c r="F457">
        <v>1.05</v>
      </c>
      <c r="G457">
        <v>0.96</v>
      </c>
      <c r="H457">
        <f t="shared" si="0"/>
        <v>0</v>
      </c>
    </row>
    <row r="458" spans="6:8">
      <c r="F458">
        <v>1.052</v>
      </c>
      <c r="G458">
        <v>0.96</v>
      </c>
      <c r="H458">
        <f t="shared" si="0"/>
        <v>0</v>
      </c>
    </row>
    <row r="459" spans="6:8">
      <c r="F459">
        <v>1.054</v>
      </c>
      <c r="G459">
        <v>0.96</v>
      </c>
      <c r="H459">
        <f t="shared" si="0"/>
        <v>0</v>
      </c>
    </row>
    <row r="460" spans="6:8">
      <c r="F460">
        <v>1.056</v>
      </c>
      <c r="G460">
        <v>0.96</v>
      </c>
      <c r="H460">
        <f t="shared" si="0"/>
        <v>0</v>
      </c>
    </row>
    <row r="461" spans="6:8">
      <c r="F461">
        <v>1.0580000000000001</v>
      </c>
      <c r="G461">
        <v>0.96</v>
      </c>
      <c r="H461">
        <f t="shared" si="0"/>
        <v>0</v>
      </c>
    </row>
    <row r="462" spans="6:8">
      <c r="F462">
        <v>1.06</v>
      </c>
      <c r="G462">
        <v>0.96</v>
      </c>
      <c r="H462">
        <f t="shared" si="0"/>
        <v>0</v>
      </c>
    </row>
    <row r="463" spans="6:8">
      <c r="F463">
        <v>1.0620000000000001</v>
      </c>
      <c r="G463">
        <v>0.96</v>
      </c>
      <c r="H463">
        <f t="shared" si="0"/>
        <v>0</v>
      </c>
    </row>
    <row r="464" spans="6:8">
      <c r="F464">
        <v>1.0640000000000001</v>
      </c>
      <c r="G464">
        <v>0.96</v>
      </c>
      <c r="H464">
        <f t="shared" si="0"/>
        <v>0</v>
      </c>
    </row>
    <row r="465" spans="6:8">
      <c r="F465">
        <v>1.0660000000000001</v>
      </c>
      <c r="G465">
        <v>0.96</v>
      </c>
      <c r="H465">
        <f t="shared" si="0"/>
        <v>0</v>
      </c>
    </row>
    <row r="466" spans="6:8">
      <c r="F466">
        <v>1.0680000000000001</v>
      </c>
      <c r="G466">
        <v>0.96</v>
      </c>
      <c r="H466">
        <f t="shared" si="0"/>
        <v>0</v>
      </c>
    </row>
    <row r="467" spans="6:8">
      <c r="F467">
        <v>1.07</v>
      </c>
      <c r="G467">
        <v>0.96</v>
      </c>
      <c r="H467">
        <f t="shared" si="0"/>
        <v>0</v>
      </c>
    </row>
    <row r="468" spans="6:8">
      <c r="F468">
        <v>1.0720000000000001</v>
      </c>
      <c r="G468">
        <v>0.96</v>
      </c>
      <c r="H468">
        <f t="shared" si="0"/>
        <v>0</v>
      </c>
    </row>
    <row r="469" spans="6:8">
      <c r="F469">
        <v>1.0740000000000001</v>
      </c>
      <c r="G469">
        <v>0.96</v>
      </c>
      <c r="H469">
        <f t="shared" si="0"/>
        <v>0</v>
      </c>
    </row>
    <row r="470" spans="6:8">
      <c r="F470">
        <v>1.0760000000000001</v>
      </c>
      <c r="G470">
        <v>0.96</v>
      </c>
      <c r="H470">
        <f t="shared" si="0"/>
        <v>0</v>
      </c>
    </row>
    <row r="471" spans="6:8">
      <c r="F471">
        <v>1.0780000000000001</v>
      </c>
      <c r="G471">
        <v>0.96</v>
      </c>
      <c r="H471">
        <f t="shared" si="0"/>
        <v>0</v>
      </c>
    </row>
    <row r="472" spans="6:8">
      <c r="F472">
        <v>1.08</v>
      </c>
      <c r="G472">
        <v>0.96</v>
      </c>
      <c r="H472">
        <f t="shared" si="0"/>
        <v>0</v>
      </c>
    </row>
    <row r="473" spans="6:8">
      <c r="F473">
        <v>1.0820000000000001</v>
      </c>
      <c r="G473">
        <v>0.96</v>
      </c>
      <c r="H473">
        <f t="shared" si="0"/>
        <v>0</v>
      </c>
    </row>
    <row r="474" spans="6:8">
      <c r="F474">
        <v>1.0840000000000001</v>
      </c>
      <c r="G474">
        <v>0.96</v>
      </c>
      <c r="H474">
        <f t="shared" si="0"/>
        <v>0</v>
      </c>
    </row>
    <row r="475" spans="6:8">
      <c r="F475">
        <v>1.0860000000000001</v>
      </c>
      <c r="G475">
        <v>0.96</v>
      </c>
      <c r="H475">
        <f t="shared" si="0"/>
        <v>0</v>
      </c>
    </row>
    <row r="476" spans="6:8">
      <c r="F476">
        <v>1.0880000000000001</v>
      </c>
      <c r="G476">
        <v>0.96</v>
      </c>
      <c r="H476">
        <f t="shared" si="0"/>
        <v>0</v>
      </c>
    </row>
    <row r="477" spans="6:8">
      <c r="F477">
        <v>1.0900000000000001</v>
      </c>
      <c r="G477">
        <v>0.96</v>
      </c>
      <c r="H477">
        <f t="shared" si="0"/>
        <v>0</v>
      </c>
    </row>
    <row r="478" spans="6:8">
      <c r="F478">
        <v>1.0920000000000001</v>
      </c>
      <c r="G478">
        <v>0.96</v>
      </c>
      <c r="H478">
        <f t="shared" si="0"/>
        <v>0</v>
      </c>
    </row>
    <row r="479" spans="6:8">
      <c r="F479">
        <v>1.0940000000000001</v>
      </c>
      <c r="G479">
        <v>0.96</v>
      </c>
      <c r="H479">
        <f t="shared" si="0"/>
        <v>0</v>
      </c>
    </row>
    <row r="480" spans="6:8">
      <c r="F480">
        <v>1.0960000000000001</v>
      </c>
      <c r="G480">
        <v>0.96</v>
      </c>
      <c r="H480">
        <f t="shared" si="0"/>
        <v>0</v>
      </c>
    </row>
    <row r="481" spans="6:8">
      <c r="F481">
        <v>1.0980000000000001</v>
      </c>
      <c r="G481">
        <v>0.96</v>
      </c>
      <c r="H481">
        <f t="shared" si="0"/>
        <v>0</v>
      </c>
    </row>
    <row r="482" spans="6:8">
      <c r="F482">
        <v>1.1000000000000001</v>
      </c>
      <c r="G482">
        <v>0.96</v>
      </c>
      <c r="H482">
        <f t="shared" si="0"/>
        <v>0</v>
      </c>
    </row>
    <row r="483" spans="6:8">
      <c r="F483">
        <v>1.1020000000000001</v>
      </c>
      <c r="G483">
        <v>0.96</v>
      </c>
      <c r="H483">
        <f t="shared" si="0"/>
        <v>0</v>
      </c>
    </row>
    <row r="484" spans="6:8">
      <c r="F484">
        <v>1.1040000000000001</v>
      </c>
      <c r="G484">
        <v>0.96</v>
      </c>
      <c r="H484">
        <f t="shared" si="0"/>
        <v>0</v>
      </c>
    </row>
    <row r="485" spans="6:8">
      <c r="F485">
        <v>1.1060000000000001</v>
      </c>
      <c r="G485">
        <v>0.96</v>
      </c>
      <c r="H485">
        <f t="shared" si="0"/>
        <v>0</v>
      </c>
    </row>
    <row r="486" spans="6:8">
      <c r="F486">
        <v>1.1080000000000001</v>
      </c>
      <c r="G486">
        <v>0.96</v>
      </c>
      <c r="H486">
        <f t="shared" si="0"/>
        <v>0</v>
      </c>
    </row>
    <row r="487" spans="6:8">
      <c r="F487">
        <v>1.1100000000000001</v>
      </c>
      <c r="G487">
        <v>0.96</v>
      </c>
      <c r="H487">
        <f t="shared" si="0"/>
        <v>0</v>
      </c>
    </row>
    <row r="488" spans="6:8">
      <c r="F488">
        <v>1.1120000000000001</v>
      </c>
      <c r="G488">
        <v>0.96</v>
      </c>
      <c r="H488">
        <f t="shared" si="0"/>
        <v>0</v>
      </c>
    </row>
    <row r="489" spans="6:8">
      <c r="F489">
        <v>1.1140000000000001</v>
      </c>
      <c r="G489">
        <v>0.96</v>
      </c>
      <c r="H489">
        <f t="shared" si="0"/>
        <v>0</v>
      </c>
    </row>
    <row r="490" spans="6:8">
      <c r="F490">
        <v>1.1160000000000001</v>
      </c>
      <c r="G490">
        <v>0.96</v>
      </c>
      <c r="H490">
        <f t="shared" si="0"/>
        <v>0</v>
      </c>
    </row>
    <row r="491" spans="6:8">
      <c r="F491">
        <v>1.1180000000000001</v>
      </c>
      <c r="G491">
        <v>0.96</v>
      </c>
      <c r="H491">
        <f t="shared" si="0"/>
        <v>0</v>
      </c>
    </row>
    <row r="492" spans="6:8">
      <c r="F492">
        <v>1.1200000000000001</v>
      </c>
      <c r="G492">
        <v>0.96</v>
      </c>
      <c r="H492">
        <f t="shared" si="0"/>
        <v>0</v>
      </c>
    </row>
    <row r="493" spans="6:8">
      <c r="F493">
        <v>1.1220000000000001</v>
      </c>
      <c r="G493">
        <v>0.96</v>
      </c>
      <c r="H493">
        <f t="shared" si="0"/>
        <v>0</v>
      </c>
    </row>
    <row r="494" spans="6:8">
      <c r="F494">
        <v>1.1240000000000001</v>
      </c>
      <c r="G494">
        <v>0.96</v>
      </c>
      <c r="H494">
        <f t="shared" si="0"/>
        <v>0</v>
      </c>
    </row>
    <row r="495" spans="6:8">
      <c r="F495">
        <v>1.1259999999999999</v>
      </c>
      <c r="G495">
        <v>0.96</v>
      </c>
      <c r="H495">
        <f t="shared" si="0"/>
        <v>0</v>
      </c>
    </row>
    <row r="496" spans="6:8">
      <c r="F496">
        <v>1.1279999999999999</v>
      </c>
      <c r="G496">
        <v>0.96</v>
      </c>
      <c r="H496">
        <f t="shared" si="0"/>
        <v>0</v>
      </c>
    </row>
    <row r="497" spans="6:8">
      <c r="F497">
        <v>1.1299999999999999</v>
      </c>
      <c r="G497">
        <v>0.96</v>
      </c>
      <c r="H497">
        <f t="shared" si="0"/>
        <v>0</v>
      </c>
    </row>
    <row r="498" spans="6:8">
      <c r="F498">
        <v>1.1319999999999999</v>
      </c>
      <c r="G498">
        <v>0.96</v>
      </c>
      <c r="H498">
        <f t="shared" si="0"/>
        <v>0</v>
      </c>
    </row>
    <row r="499" spans="6:8">
      <c r="F499">
        <v>1.1339999999999999</v>
      </c>
      <c r="G499">
        <v>0.96</v>
      </c>
      <c r="H499">
        <f t="shared" si="0"/>
        <v>0</v>
      </c>
    </row>
    <row r="500" spans="6:8">
      <c r="F500">
        <v>1.1359999999999999</v>
      </c>
      <c r="G500">
        <v>0.96</v>
      </c>
      <c r="H500">
        <f t="shared" si="0"/>
        <v>0</v>
      </c>
    </row>
    <row r="501" spans="6:8">
      <c r="F501">
        <v>1.1379999999999999</v>
      </c>
      <c r="G501">
        <v>0.96</v>
      </c>
      <c r="H501">
        <f t="shared" si="0"/>
        <v>0</v>
      </c>
    </row>
    <row r="502" spans="6:8">
      <c r="F502">
        <v>1.1399999999999999</v>
      </c>
      <c r="G502">
        <v>0.96</v>
      </c>
      <c r="H502">
        <f t="shared" si="0"/>
        <v>0</v>
      </c>
    </row>
    <row r="503" spans="6:8">
      <c r="F503">
        <v>1.1419999999999999</v>
      </c>
      <c r="G503">
        <v>0.96</v>
      </c>
      <c r="H503">
        <f t="shared" si="0"/>
        <v>0</v>
      </c>
    </row>
    <row r="504" spans="6:8">
      <c r="F504">
        <v>1.1439999999999999</v>
      </c>
      <c r="G504">
        <v>0.96</v>
      </c>
      <c r="H504">
        <f t="shared" si="0"/>
        <v>0</v>
      </c>
    </row>
    <row r="505" spans="6:8">
      <c r="F505">
        <v>1.1459999999999999</v>
      </c>
      <c r="G505">
        <v>0.96</v>
      </c>
      <c r="H505">
        <f t="shared" si="0"/>
        <v>0</v>
      </c>
    </row>
    <row r="506" spans="6:8">
      <c r="F506">
        <v>1.1479999999999999</v>
      </c>
      <c r="G506">
        <v>0.96</v>
      </c>
      <c r="H506">
        <f t="shared" si="0"/>
        <v>0</v>
      </c>
    </row>
    <row r="507" spans="6:8">
      <c r="F507">
        <v>1.1499999999999999</v>
      </c>
      <c r="G507">
        <v>0.96</v>
      </c>
      <c r="H507">
        <f t="shared" si="0"/>
        <v>0</v>
      </c>
    </row>
    <row r="508" spans="6:8">
      <c r="F508">
        <v>1.1519999999999999</v>
      </c>
      <c r="G508">
        <v>0.96</v>
      </c>
      <c r="H508">
        <f t="shared" si="0"/>
        <v>0</v>
      </c>
    </row>
    <row r="509" spans="6:8">
      <c r="F509">
        <v>1.1539999999999999</v>
      </c>
      <c r="G509">
        <v>0.96</v>
      </c>
      <c r="H509">
        <f t="shared" si="0"/>
        <v>0</v>
      </c>
    </row>
    <row r="510" spans="6:8">
      <c r="F510">
        <v>1.1559999999999999</v>
      </c>
      <c r="G510">
        <v>0.96</v>
      </c>
      <c r="H510">
        <f t="shared" si="0"/>
        <v>0</v>
      </c>
    </row>
    <row r="511" spans="6:8">
      <c r="F511">
        <v>1.1579999999999999</v>
      </c>
      <c r="G511">
        <v>0.96</v>
      </c>
      <c r="H511">
        <f t="shared" si="0"/>
        <v>0</v>
      </c>
    </row>
    <row r="512" spans="6:8">
      <c r="F512">
        <v>1.1599999999999999</v>
      </c>
      <c r="G512">
        <v>0.96</v>
      </c>
      <c r="H512">
        <f t="shared" ref="H512:H575" si="1">$J$2-G512</f>
        <v>0</v>
      </c>
    </row>
    <row r="513" spans="6:8">
      <c r="F513">
        <v>1.1619999999999999</v>
      </c>
      <c r="G513">
        <v>0.96</v>
      </c>
      <c r="H513">
        <f t="shared" si="1"/>
        <v>0</v>
      </c>
    </row>
    <row r="514" spans="6:8">
      <c r="F514">
        <v>1.1639999999999999</v>
      </c>
      <c r="G514">
        <v>0.96</v>
      </c>
      <c r="H514">
        <f t="shared" si="1"/>
        <v>0</v>
      </c>
    </row>
    <row r="515" spans="6:8">
      <c r="F515">
        <v>1.1659999999999999</v>
      </c>
      <c r="G515">
        <v>0.96</v>
      </c>
      <c r="H515">
        <f t="shared" si="1"/>
        <v>0</v>
      </c>
    </row>
    <row r="516" spans="6:8">
      <c r="F516">
        <v>1.1679999999999999</v>
      </c>
      <c r="G516">
        <v>0.96</v>
      </c>
      <c r="H516">
        <f t="shared" si="1"/>
        <v>0</v>
      </c>
    </row>
    <row r="517" spans="6:8">
      <c r="F517">
        <v>1.17</v>
      </c>
      <c r="G517">
        <v>0.96</v>
      </c>
      <c r="H517">
        <f t="shared" si="1"/>
        <v>0</v>
      </c>
    </row>
    <row r="518" spans="6:8">
      <c r="F518">
        <v>1.1719999999999999</v>
      </c>
      <c r="G518">
        <v>0.96</v>
      </c>
      <c r="H518">
        <f t="shared" si="1"/>
        <v>0</v>
      </c>
    </row>
    <row r="519" spans="6:8">
      <c r="F519">
        <v>1.1739999999999999</v>
      </c>
      <c r="G519">
        <v>0.96</v>
      </c>
      <c r="H519">
        <f t="shared" si="1"/>
        <v>0</v>
      </c>
    </row>
    <row r="520" spans="6:8">
      <c r="F520">
        <v>1.1759999999999999</v>
      </c>
      <c r="G520">
        <v>0.96</v>
      </c>
      <c r="H520">
        <f t="shared" si="1"/>
        <v>0</v>
      </c>
    </row>
    <row r="521" spans="6:8">
      <c r="F521">
        <v>1.1779999999999999</v>
      </c>
      <c r="G521">
        <v>0.96</v>
      </c>
      <c r="H521">
        <f t="shared" si="1"/>
        <v>0</v>
      </c>
    </row>
    <row r="522" spans="6:8">
      <c r="F522">
        <v>1.18</v>
      </c>
      <c r="G522">
        <v>0.96</v>
      </c>
      <c r="H522">
        <f t="shared" si="1"/>
        <v>0</v>
      </c>
    </row>
    <row r="523" spans="6:8">
      <c r="F523">
        <v>1.1819999999999999</v>
      </c>
      <c r="G523">
        <v>0.96</v>
      </c>
      <c r="H523">
        <f t="shared" si="1"/>
        <v>0</v>
      </c>
    </row>
    <row r="524" spans="6:8">
      <c r="F524">
        <v>1.1839999999999999</v>
      </c>
      <c r="G524">
        <v>0.96</v>
      </c>
      <c r="H524">
        <f t="shared" si="1"/>
        <v>0</v>
      </c>
    </row>
    <row r="525" spans="6:8">
      <c r="F525">
        <v>1.1859999999999999</v>
      </c>
      <c r="G525">
        <v>0.96</v>
      </c>
      <c r="H525">
        <f t="shared" si="1"/>
        <v>0</v>
      </c>
    </row>
    <row r="526" spans="6:8">
      <c r="F526">
        <v>1.1879999999999999</v>
      </c>
      <c r="G526">
        <v>0.96</v>
      </c>
      <c r="H526">
        <f t="shared" si="1"/>
        <v>0</v>
      </c>
    </row>
    <row r="527" spans="6:8">
      <c r="F527">
        <v>1.19</v>
      </c>
      <c r="G527">
        <v>0.96</v>
      </c>
      <c r="H527">
        <f t="shared" si="1"/>
        <v>0</v>
      </c>
    </row>
    <row r="528" spans="6:8">
      <c r="F528">
        <v>1.1919999999999999</v>
      </c>
      <c r="G528">
        <v>0.96</v>
      </c>
      <c r="H528">
        <f t="shared" si="1"/>
        <v>0</v>
      </c>
    </row>
    <row r="529" spans="6:8">
      <c r="F529">
        <v>1.194</v>
      </c>
      <c r="G529">
        <v>0.96</v>
      </c>
      <c r="H529">
        <f t="shared" si="1"/>
        <v>0</v>
      </c>
    </row>
    <row r="530" spans="6:8">
      <c r="F530">
        <v>1.196</v>
      </c>
      <c r="G530">
        <v>0.96</v>
      </c>
      <c r="H530">
        <f t="shared" si="1"/>
        <v>0</v>
      </c>
    </row>
    <row r="531" spans="6:8">
      <c r="F531">
        <v>1.198</v>
      </c>
      <c r="G531">
        <v>0.96</v>
      </c>
      <c r="H531">
        <f t="shared" si="1"/>
        <v>0</v>
      </c>
    </row>
    <row r="532" spans="6:8">
      <c r="F532">
        <v>1.2</v>
      </c>
      <c r="G532">
        <v>0.96</v>
      </c>
      <c r="H532">
        <f t="shared" si="1"/>
        <v>0</v>
      </c>
    </row>
    <row r="533" spans="6:8">
      <c r="F533">
        <v>1.202</v>
      </c>
      <c r="G533">
        <v>0.96</v>
      </c>
      <c r="H533">
        <f t="shared" si="1"/>
        <v>0</v>
      </c>
    </row>
    <row r="534" spans="6:8">
      <c r="F534">
        <v>1.204</v>
      </c>
      <c r="G534">
        <v>0.96</v>
      </c>
      <c r="H534">
        <f t="shared" si="1"/>
        <v>0</v>
      </c>
    </row>
    <row r="535" spans="6:8">
      <c r="F535">
        <v>1.206</v>
      </c>
      <c r="G535">
        <v>0.96</v>
      </c>
      <c r="H535">
        <f t="shared" si="1"/>
        <v>0</v>
      </c>
    </row>
    <row r="536" spans="6:8">
      <c r="F536">
        <v>1.208</v>
      </c>
      <c r="G536">
        <v>0.96</v>
      </c>
      <c r="H536">
        <f t="shared" si="1"/>
        <v>0</v>
      </c>
    </row>
    <row r="537" spans="6:8">
      <c r="F537">
        <v>1.21</v>
      </c>
      <c r="G537">
        <v>0.96</v>
      </c>
      <c r="H537">
        <f t="shared" si="1"/>
        <v>0</v>
      </c>
    </row>
    <row r="538" spans="6:8">
      <c r="F538">
        <v>1.212</v>
      </c>
      <c r="G538">
        <v>0.96</v>
      </c>
      <c r="H538">
        <f t="shared" si="1"/>
        <v>0</v>
      </c>
    </row>
    <row r="539" spans="6:8">
      <c r="F539">
        <v>1.214</v>
      </c>
      <c r="G539">
        <v>0.96</v>
      </c>
      <c r="H539">
        <f t="shared" si="1"/>
        <v>0</v>
      </c>
    </row>
    <row r="540" spans="6:8">
      <c r="F540">
        <v>1.216</v>
      </c>
      <c r="G540">
        <v>0.96</v>
      </c>
      <c r="H540">
        <f t="shared" si="1"/>
        <v>0</v>
      </c>
    </row>
    <row r="541" spans="6:8">
      <c r="F541">
        <v>1.218</v>
      </c>
      <c r="G541">
        <v>0.96</v>
      </c>
      <c r="H541">
        <f t="shared" si="1"/>
        <v>0</v>
      </c>
    </row>
    <row r="542" spans="6:8">
      <c r="F542">
        <v>1.22</v>
      </c>
      <c r="G542">
        <v>0.96</v>
      </c>
      <c r="H542">
        <f t="shared" si="1"/>
        <v>0</v>
      </c>
    </row>
    <row r="543" spans="6:8">
      <c r="F543">
        <v>1.222</v>
      </c>
      <c r="G543">
        <v>0.96</v>
      </c>
      <c r="H543">
        <f t="shared" si="1"/>
        <v>0</v>
      </c>
    </row>
    <row r="544" spans="6:8">
      <c r="F544">
        <v>1.224</v>
      </c>
      <c r="G544">
        <v>0.96</v>
      </c>
      <c r="H544">
        <f t="shared" si="1"/>
        <v>0</v>
      </c>
    </row>
    <row r="545" spans="6:8">
      <c r="F545">
        <v>1.226</v>
      </c>
      <c r="G545">
        <v>0.96</v>
      </c>
      <c r="H545">
        <f t="shared" si="1"/>
        <v>0</v>
      </c>
    </row>
    <row r="546" spans="6:8">
      <c r="F546">
        <v>1.228</v>
      </c>
      <c r="G546">
        <v>0.96</v>
      </c>
      <c r="H546">
        <f t="shared" si="1"/>
        <v>0</v>
      </c>
    </row>
    <row r="547" spans="6:8">
      <c r="F547">
        <v>1.23</v>
      </c>
      <c r="G547">
        <v>0.96</v>
      </c>
      <c r="H547">
        <f t="shared" si="1"/>
        <v>0</v>
      </c>
    </row>
    <row r="548" spans="6:8">
      <c r="F548">
        <v>1.232</v>
      </c>
      <c r="G548">
        <v>0.96</v>
      </c>
      <c r="H548">
        <f t="shared" si="1"/>
        <v>0</v>
      </c>
    </row>
    <row r="549" spans="6:8">
      <c r="F549">
        <v>1.234</v>
      </c>
      <c r="G549">
        <v>0.96</v>
      </c>
      <c r="H549">
        <f t="shared" si="1"/>
        <v>0</v>
      </c>
    </row>
    <row r="550" spans="6:8">
      <c r="F550">
        <v>1.236</v>
      </c>
      <c r="G550">
        <v>0.96</v>
      </c>
      <c r="H550">
        <f t="shared" si="1"/>
        <v>0</v>
      </c>
    </row>
    <row r="551" spans="6:8">
      <c r="F551">
        <v>1.238</v>
      </c>
      <c r="G551">
        <v>0.96</v>
      </c>
      <c r="H551">
        <f t="shared" si="1"/>
        <v>0</v>
      </c>
    </row>
    <row r="552" spans="6:8">
      <c r="F552">
        <v>1.24</v>
      </c>
      <c r="G552">
        <v>0.96</v>
      </c>
      <c r="H552">
        <f t="shared" si="1"/>
        <v>0</v>
      </c>
    </row>
    <row r="553" spans="6:8">
      <c r="F553">
        <v>1.242</v>
      </c>
      <c r="G553">
        <v>0.96</v>
      </c>
      <c r="H553">
        <f t="shared" si="1"/>
        <v>0</v>
      </c>
    </row>
    <row r="554" spans="6:8">
      <c r="F554">
        <v>1.244</v>
      </c>
      <c r="G554">
        <v>0.96</v>
      </c>
      <c r="H554">
        <f t="shared" si="1"/>
        <v>0</v>
      </c>
    </row>
    <row r="555" spans="6:8">
      <c r="F555">
        <v>1.246</v>
      </c>
      <c r="G555">
        <v>0.96</v>
      </c>
      <c r="H555">
        <f t="shared" si="1"/>
        <v>0</v>
      </c>
    </row>
    <row r="556" spans="6:8">
      <c r="F556">
        <v>1.248</v>
      </c>
      <c r="G556">
        <v>0.96</v>
      </c>
      <c r="H556">
        <f t="shared" si="1"/>
        <v>0</v>
      </c>
    </row>
    <row r="557" spans="6:8">
      <c r="F557">
        <v>1.25</v>
      </c>
      <c r="G557">
        <v>0.96</v>
      </c>
      <c r="H557">
        <f t="shared" si="1"/>
        <v>0</v>
      </c>
    </row>
    <row r="558" spans="6:8">
      <c r="F558">
        <v>1.252</v>
      </c>
      <c r="G558">
        <v>0.96</v>
      </c>
      <c r="H558">
        <f t="shared" si="1"/>
        <v>0</v>
      </c>
    </row>
    <row r="559" spans="6:8">
      <c r="F559">
        <v>1.254</v>
      </c>
      <c r="G559">
        <v>0.96</v>
      </c>
      <c r="H559">
        <f t="shared" si="1"/>
        <v>0</v>
      </c>
    </row>
    <row r="560" spans="6:8">
      <c r="F560">
        <v>1.256</v>
      </c>
      <c r="G560">
        <v>0.96</v>
      </c>
      <c r="H560">
        <f t="shared" si="1"/>
        <v>0</v>
      </c>
    </row>
    <row r="561" spans="6:8">
      <c r="F561">
        <v>1.258</v>
      </c>
      <c r="G561">
        <v>0.96</v>
      </c>
      <c r="H561">
        <f t="shared" si="1"/>
        <v>0</v>
      </c>
    </row>
    <row r="562" spans="6:8">
      <c r="F562">
        <v>1.26</v>
      </c>
      <c r="G562">
        <v>0.96</v>
      </c>
      <c r="H562">
        <f t="shared" si="1"/>
        <v>0</v>
      </c>
    </row>
    <row r="563" spans="6:8">
      <c r="F563">
        <v>1.262</v>
      </c>
      <c r="G563">
        <v>0.96</v>
      </c>
      <c r="H563">
        <f t="shared" si="1"/>
        <v>0</v>
      </c>
    </row>
    <row r="564" spans="6:8">
      <c r="F564">
        <v>1.264</v>
      </c>
      <c r="G564">
        <v>0.96</v>
      </c>
      <c r="H564">
        <f t="shared" si="1"/>
        <v>0</v>
      </c>
    </row>
    <row r="565" spans="6:8">
      <c r="F565">
        <v>1.266</v>
      </c>
      <c r="G565">
        <v>0.96</v>
      </c>
      <c r="H565">
        <f t="shared" si="1"/>
        <v>0</v>
      </c>
    </row>
    <row r="566" spans="6:8">
      <c r="F566">
        <v>1.268</v>
      </c>
      <c r="G566">
        <v>0.96</v>
      </c>
      <c r="H566">
        <f t="shared" si="1"/>
        <v>0</v>
      </c>
    </row>
    <row r="567" spans="6:8">
      <c r="F567">
        <v>1.27</v>
      </c>
      <c r="G567">
        <v>0.96</v>
      </c>
      <c r="H567">
        <f t="shared" si="1"/>
        <v>0</v>
      </c>
    </row>
    <row r="568" spans="6:8">
      <c r="F568">
        <v>1.272</v>
      </c>
      <c r="G568">
        <v>0.96</v>
      </c>
      <c r="H568">
        <f t="shared" si="1"/>
        <v>0</v>
      </c>
    </row>
    <row r="569" spans="6:8">
      <c r="F569">
        <v>1.274</v>
      </c>
      <c r="G569">
        <v>0.96</v>
      </c>
      <c r="H569">
        <f t="shared" si="1"/>
        <v>0</v>
      </c>
    </row>
    <row r="570" spans="6:8">
      <c r="F570">
        <v>1.276</v>
      </c>
      <c r="G570">
        <v>0.96</v>
      </c>
      <c r="H570">
        <f t="shared" si="1"/>
        <v>0</v>
      </c>
    </row>
    <row r="571" spans="6:8">
      <c r="F571">
        <v>1.278</v>
      </c>
      <c r="G571">
        <v>0.96</v>
      </c>
      <c r="H571">
        <f t="shared" si="1"/>
        <v>0</v>
      </c>
    </row>
    <row r="572" spans="6:8">
      <c r="F572">
        <v>1.28</v>
      </c>
      <c r="G572">
        <v>0.96</v>
      </c>
      <c r="H572">
        <f t="shared" si="1"/>
        <v>0</v>
      </c>
    </row>
    <row r="573" spans="6:8">
      <c r="F573">
        <v>1.282</v>
      </c>
      <c r="G573">
        <v>0.96</v>
      </c>
      <c r="H573">
        <f t="shared" si="1"/>
        <v>0</v>
      </c>
    </row>
    <row r="574" spans="6:8">
      <c r="F574">
        <v>1.284</v>
      </c>
      <c r="G574">
        <v>0.96</v>
      </c>
      <c r="H574">
        <f t="shared" si="1"/>
        <v>0</v>
      </c>
    </row>
    <row r="575" spans="6:8">
      <c r="F575">
        <v>1.286</v>
      </c>
      <c r="G575">
        <v>0.96</v>
      </c>
      <c r="H575">
        <f t="shared" si="1"/>
        <v>0</v>
      </c>
    </row>
    <row r="576" spans="6:8">
      <c r="F576">
        <v>1.288</v>
      </c>
      <c r="G576">
        <v>0.96</v>
      </c>
      <c r="H576">
        <f t="shared" ref="H576:H639" si="2">$J$2-G576</f>
        <v>0</v>
      </c>
    </row>
    <row r="577" spans="6:8">
      <c r="F577">
        <v>1.29</v>
      </c>
      <c r="G577">
        <v>0.96</v>
      </c>
      <c r="H577">
        <f t="shared" si="2"/>
        <v>0</v>
      </c>
    </row>
    <row r="578" spans="6:8">
      <c r="F578">
        <v>1.292</v>
      </c>
      <c r="G578">
        <v>0.96</v>
      </c>
      <c r="H578">
        <f t="shared" si="2"/>
        <v>0</v>
      </c>
    </row>
    <row r="579" spans="6:8">
      <c r="F579">
        <v>1.294</v>
      </c>
      <c r="G579">
        <v>0.96</v>
      </c>
      <c r="H579">
        <f t="shared" si="2"/>
        <v>0</v>
      </c>
    </row>
    <row r="580" spans="6:8">
      <c r="F580">
        <v>1.296</v>
      </c>
      <c r="G580">
        <v>0.96</v>
      </c>
      <c r="H580">
        <f t="shared" si="2"/>
        <v>0</v>
      </c>
    </row>
    <row r="581" spans="6:8">
      <c r="F581">
        <v>1.298</v>
      </c>
      <c r="G581">
        <v>0.96</v>
      </c>
      <c r="H581">
        <f t="shared" si="2"/>
        <v>0</v>
      </c>
    </row>
    <row r="582" spans="6:8">
      <c r="F582">
        <v>1.3</v>
      </c>
      <c r="G582">
        <v>0.96</v>
      </c>
      <c r="H582">
        <f t="shared" si="2"/>
        <v>0</v>
      </c>
    </row>
    <row r="583" spans="6:8">
      <c r="F583">
        <v>1.302</v>
      </c>
      <c r="G583">
        <v>0.96</v>
      </c>
      <c r="H583">
        <f t="shared" si="2"/>
        <v>0</v>
      </c>
    </row>
    <row r="584" spans="6:8">
      <c r="F584">
        <v>1.304</v>
      </c>
      <c r="G584">
        <v>0.96</v>
      </c>
      <c r="H584">
        <f t="shared" si="2"/>
        <v>0</v>
      </c>
    </row>
    <row r="585" spans="6:8">
      <c r="F585">
        <v>1.306</v>
      </c>
      <c r="G585">
        <v>0.96</v>
      </c>
      <c r="H585">
        <f t="shared" si="2"/>
        <v>0</v>
      </c>
    </row>
    <row r="586" spans="6:8">
      <c r="F586">
        <v>1.3080000000000001</v>
      </c>
      <c r="G586">
        <v>0.96</v>
      </c>
      <c r="H586">
        <f t="shared" si="2"/>
        <v>0</v>
      </c>
    </row>
    <row r="587" spans="6:8">
      <c r="F587">
        <v>1.31</v>
      </c>
      <c r="G587">
        <v>0.96</v>
      </c>
      <c r="H587">
        <f t="shared" si="2"/>
        <v>0</v>
      </c>
    </row>
    <row r="588" spans="6:8">
      <c r="F588">
        <v>1.3120000000000001</v>
      </c>
      <c r="G588">
        <v>0.96</v>
      </c>
      <c r="H588">
        <f t="shared" si="2"/>
        <v>0</v>
      </c>
    </row>
    <row r="589" spans="6:8">
      <c r="F589">
        <v>1.3140000000000001</v>
      </c>
      <c r="G589">
        <v>0.96</v>
      </c>
      <c r="H589">
        <f t="shared" si="2"/>
        <v>0</v>
      </c>
    </row>
    <row r="590" spans="6:8">
      <c r="F590">
        <v>1.3160000000000001</v>
      </c>
      <c r="G590">
        <v>0.96</v>
      </c>
      <c r="H590">
        <f t="shared" si="2"/>
        <v>0</v>
      </c>
    </row>
    <row r="591" spans="6:8">
      <c r="F591">
        <v>1.3180000000000001</v>
      </c>
      <c r="G591">
        <v>0.96</v>
      </c>
      <c r="H591">
        <f t="shared" si="2"/>
        <v>0</v>
      </c>
    </row>
    <row r="592" spans="6:8">
      <c r="F592">
        <v>1.32</v>
      </c>
      <c r="G592">
        <v>0.96</v>
      </c>
      <c r="H592">
        <f t="shared" si="2"/>
        <v>0</v>
      </c>
    </row>
    <row r="593" spans="6:8">
      <c r="F593">
        <v>1.3220000000000001</v>
      </c>
      <c r="G593">
        <v>0.96</v>
      </c>
      <c r="H593">
        <f t="shared" si="2"/>
        <v>0</v>
      </c>
    </row>
    <row r="594" spans="6:8">
      <c r="F594">
        <v>1.3240000000000001</v>
      </c>
      <c r="G594">
        <v>0.96</v>
      </c>
      <c r="H594">
        <f t="shared" si="2"/>
        <v>0</v>
      </c>
    </row>
    <row r="595" spans="6:8">
      <c r="F595">
        <v>1.3260000000000001</v>
      </c>
      <c r="G595">
        <v>0.96</v>
      </c>
      <c r="H595">
        <f t="shared" si="2"/>
        <v>0</v>
      </c>
    </row>
    <row r="596" spans="6:8">
      <c r="F596">
        <v>1.3280000000000001</v>
      </c>
      <c r="G596">
        <v>0.96</v>
      </c>
      <c r="H596">
        <f t="shared" si="2"/>
        <v>0</v>
      </c>
    </row>
    <row r="597" spans="6:8">
      <c r="F597">
        <v>1.33</v>
      </c>
      <c r="G597">
        <v>0.96</v>
      </c>
      <c r="H597">
        <f t="shared" si="2"/>
        <v>0</v>
      </c>
    </row>
    <row r="598" spans="6:8">
      <c r="F598">
        <v>1.3320000000000001</v>
      </c>
      <c r="G598">
        <v>0.96</v>
      </c>
      <c r="H598">
        <f t="shared" si="2"/>
        <v>0</v>
      </c>
    </row>
    <row r="599" spans="6:8">
      <c r="F599">
        <v>1.3340000000000001</v>
      </c>
      <c r="G599">
        <v>0.96</v>
      </c>
      <c r="H599">
        <f t="shared" si="2"/>
        <v>0</v>
      </c>
    </row>
    <row r="600" spans="6:8">
      <c r="F600">
        <v>1.3360000000000001</v>
      </c>
      <c r="G600">
        <v>0.96</v>
      </c>
      <c r="H600">
        <f t="shared" si="2"/>
        <v>0</v>
      </c>
    </row>
    <row r="601" spans="6:8">
      <c r="F601">
        <v>1.3380000000000001</v>
      </c>
      <c r="G601">
        <v>0.96</v>
      </c>
      <c r="H601">
        <f t="shared" si="2"/>
        <v>0</v>
      </c>
    </row>
    <row r="602" spans="6:8">
      <c r="F602">
        <v>1.34</v>
      </c>
      <c r="G602">
        <v>0.96</v>
      </c>
      <c r="H602">
        <f t="shared" si="2"/>
        <v>0</v>
      </c>
    </row>
    <row r="603" spans="6:8">
      <c r="F603">
        <v>1.3420000000000001</v>
      </c>
      <c r="G603">
        <v>0.96</v>
      </c>
      <c r="H603">
        <f t="shared" si="2"/>
        <v>0</v>
      </c>
    </row>
    <row r="604" spans="6:8">
      <c r="F604">
        <v>1.3440000000000001</v>
      </c>
      <c r="G604">
        <v>0.96</v>
      </c>
      <c r="H604">
        <f t="shared" si="2"/>
        <v>0</v>
      </c>
    </row>
    <row r="605" spans="6:8">
      <c r="F605">
        <v>1.3460000000000001</v>
      </c>
      <c r="G605">
        <v>0.96</v>
      </c>
      <c r="H605">
        <f t="shared" si="2"/>
        <v>0</v>
      </c>
    </row>
    <row r="606" spans="6:8">
      <c r="F606">
        <v>1.3480000000000001</v>
      </c>
      <c r="G606">
        <v>0.96</v>
      </c>
      <c r="H606">
        <f t="shared" si="2"/>
        <v>0</v>
      </c>
    </row>
    <row r="607" spans="6:8">
      <c r="F607">
        <v>1.35</v>
      </c>
      <c r="G607">
        <v>0.96</v>
      </c>
      <c r="H607">
        <f t="shared" si="2"/>
        <v>0</v>
      </c>
    </row>
    <row r="608" spans="6:8">
      <c r="F608">
        <v>1.3520000000000001</v>
      </c>
      <c r="G608">
        <v>0.96</v>
      </c>
      <c r="H608">
        <f t="shared" si="2"/>
        <v>0</v>
      </c>
    </row>
    <row r="609" spans="6:8">
      <c r="F609">
        <v>1.3540000000000001</v>
      </c>
      <c r="G609">
        <v>0.96</v>
      </c>
      <c r="H609">
        <f t="shared" si="2"/>
        <v>0</v>
      </c>
    </row>
    <row r="610" spans="6:8">
      <c r="F610">
        <v>1.3560000000000001</v>
      </c>
      <c r="G610">
        <v>0.96</v>
      </c>
      <c r="H610">
        <f t="shared" si="2"/>
        <v>0</v>
      </c>
    </row>
    <row r="611" spans="6:8">
      <c r="F611">
        <v>1.3580000000000001</v>
      </c>
      <c r="G611">
        <v>0.96</v>
      </c>
      <c r="H611">
        <f t="shared" si="2"/>
        <v>0</v>
      </c>
    </row>
    <row r="612" spans="6:8">
      <c r="F612">
        <v>1.36</v>
      </c>
      <c r="G612">
        <v>0.96</v>
      </c>
      <c r="H612">
        <f t="shared" si="2"/>
        <v>0</v>
      </c>
    </row>
    <row r="613" spans="6:8">
      <c r="F613">
        <v>1.3620000000000001</v>
      </c>
      <c r="G613">
        <v>0.96</v>
      </c>
      <c r="H613">
        <f t="shared" si="2"/>
        <v>0</v>
      </c>
    </row>
    <row r="614" spans="6:8">
      <c r="F614">
        <v>1.3640000000000001</v>
      </c>
      <c r="G614">
        <v>0.96</v>
      </c>
      <c r="H614">
        <f t="shared" si="2"/>
        <v>0</v>
      </c>
    </row>
    <row r="615" spans="6:8">
      <c r="F615">
        <v>1.3660000000000001</v>
      </c>
      <c r="G615">
        <v>0.96</v>
      </c>
      <c r="H615">
        <f t="shared" si="2"/>
        <v>0</v>
      </c>
    </row>
    <row r="616" spans="6:8">
      <c r="F616">
        <v>1.3680000000000001</v>
      </c>
      <c r="G616">
        <v>0.96</v>
      </c>
      <c r="H616">
        <f t="shared" si="2"/>
        <v>0</v>
      </c>
    </row>
    <row r="617" spans="6:8">
      <c r="F617">
        <v>1.37</v>
      </c>
      <c r="G617">
        <v>0.96</v>
      </c>
      <c r="H617">
        <f t="shared" si="2"/>
        <v>0</v>
      </c>
    </row>
    <row r="618" spans="6:8">
      <c r="F618">
        <v>1.3720000000000001</v>
      </c>
      <c r="G618">
        <v>0.96</v>
      </c>
      <c r="H618">
        <f t="shared" si="2"/>
        <v>0</v>
      </c>
    </row>
    <row r="619" spans="6:8">
      <c r="F619">
        <v>1.3740000000000001</v>
      </c>
      <c r="G619">
        <v>0.96</v>
      </c>
      <c r="H619">
        <f t="shared" si="2"/>
        <v>0</v>
      </c>
    </row>
    <row r="620" spans="6:8">
      <c r="F620">
        <v>1.3759999999999999</v>
      </c>
      <c r="G620">
        <v>0.96</v>
      </c>
      <c r="H620">
        <f t="shared" si="2"/>
        <v>0</v>
      </c>
    </row>
    <row r="621" spans="6:8">
      <c r="F621">
        <v>1.3779999999999999</v>
      </c>
      <c r="G621">
        <v>0.96</v>
      </c>
      <c r="H621">
        <f t="shared" si="2"/>
        <v>0</v>
      </c>
    </row>
    <row r="622" spans="6:8">
      <c r="F622">
        <v>1.38</v>
      </c>
      <c r="G622">
        <v>0.96</v>
      </c>
      <c r="H622">
        <f t="shared" si="2"/>
        <v>0</v>
      </c>
    </row>
    <row r="623" spans="6:8">
      <c r="F623">
        <v>1.3819999999999999</v>
      </c>
      <c r="G623">
        <v>0.96</v>
      </c>
      <c r="H623">
        <f t="shared" si="2"/>
        <v>0</v>
      </c>
    </row>
    <row r="624" spans="6:8">
      <c r="F624">
        <v>1.3839999999999999</v>
      </c>
      <c r="G624">
        <v>0.96</v>
      </c>
      <c r="H624">
        <f t="shared" si="2"/>
        <v>0</v>
      </c>
    </row>
    <row r="625" spans="6:8">
      <c r="F625">
        <v>1.3859999999999999</v>
      </c>
      <c r="G625">
        <v>0.96</v>
      </c>
      <c r="H625">
        <f t="shared" si="2"/>
        <v>0</v>
      </c>
    </row>
    <row r="626" spans="6:8">
      <c r="F626">
        <v>1.3879999999999999</v>
      </c>
      <c r="G626">
        <v>0.96</v>
      </c>
      <c r="H626">
        <f t="shared" si="2"/>
        <v>0</v>
      </c>
    </row>
    <row r="627" spans="6:8">
      <c r="F627">
        <v>1.39</v>
      </c>
      <c r="G627">
        <v>0.96</v>
      </c>
      <c r="H627">
        <f t="shared" si="2"/>
        <v>0</v>
      </c>
    </row>
    <row r="628" spans="6:8">
      <c r="F628">
        <v>1.3919999999999999</v>
      </c>
      <c r="G628">
        <v>0.96</v>
      </c>
      <c r="H628">
        <f t="shared" si="2"/>
        <v>0</v>
      </c>
    </row>
    <row r="629" spans="6:8">
      <c r="F629">
        <v>1.3939999999999999</v>
      </c>
      <c r="G629">
        <v>0.96</v>
      </c>
      <c r="H629">
        <f t="shared" si="2"/>
        <v>0</v>
      </c>
    </row>
    <row r="630" spans="6:8">
      <c r="F630">
        <v>1.3959999999999999</v>
      </c>
      <c r="G630">
        <v>0.96</v>
      </c>
      <c r="H630">
        <f t="shared" si="2"/>
        <v>0</v>
      </c>
    </row>
    <row r="631" spans="6:8">
      <c r="F631">
        <v>1.3979999999999999</v>
      </c>
      <c r="G631">
        <v>0.96</v>
      </c>
      <c r="H631">
        <f t="shared" si="2"/>
        <v>0</v>
      </c>
    </row>
    <row r="632" spans="6:8">
      <c r="F632">
        <v>1.4</v>
      </c>
      <c r="G632">
        <v>0.96</v>
      </c>
      <c r="H632">
        <f t="shared" si="2"/>
        <v>0</v>
      </c>
    </row>
    <row r="633" spans="6:8">
      <c r="F633">
        <v>1.4019999999999999</v>
      </c>
      <c r="G633">
        <v>0.96</v>
      </c>
      <c r="H633">
        <f t="shared" si="2"/>
        <v>0</v>
      </c>
    </row>
    <row r="634" spans="6:8">
      <c r="F634">
        <v>1.4039999999999999</v>
      </c>
      <c r="G634">
        <v>0.96</v>
      </c>
      <c r="H634">
        <f t="shared" si="2"/>
        <v>0</v>
      </c>
    </row>
    <row r="635" spans="6:8">
      <c r="F635">
        <v>1.4059999999999999</v>
      </c>
      <c r="G635">
        <v>0.96</v>
      </c>
      <c r="H635">
        <f t="shared" si="2"/>
        <v>0</v>
      </c>
    </row>
    <row r="636" spans="6:8">
      <c r="F636">
        <v>1.4079999999999999</v>
      </c>
      <c r="G636">
        <v>0.96</v>
      </c>
      <c r="H636">
        <f t="shared" si="2"/>
        <v>0</v>
      </c>
    </row>
    <row r="637" spans="6:8">
      <c r="F637">
        <v>1.41</v>
      </c>
      <c r="G637">
        <v>0.96</v>
      </c>
      <c r="H637">
        <f t="shared" si="2"/>
        <v>0</v>
      </c>
    </row>
    <row r="638" spans="6:8">
      <c r="F638">
        <v>1.4119999999999999</v>
      </c>
      <c r="G638">
        <v>0.96</v>
      </c>
      <c r="H638">
        <f t="shared" si="2"/>
        <v>0</v>
      </c>
    </row>
    <row r="639" spans="6:8">
      <c r="F639">
        <v>1.4139999999999999</v>
      </c>
      <c r="G639">
        <v>0.96</v>
      </c>
      <c r="H639">
        <f t="shared" si="2"/>
        <v>0</v>
      </c>
    </row>
    <row r="640" spans="6:8">
      <c r="F640">
        <v>1.4159999999999999</v>
      </c>
      <c r="G640">
        <v>0.96</v>
      </c>
      <c r="H640">
        <f t="shared" ref="H640:H703" si="3">$J$2-G640</f>
        <v>0</v>
      </c>
    </row>
    <row r="641" spans="6:8">
      <c r="F641">
        <v>1.4179999999999999</v>
      </c>
      <c r="G641">
        <v>0.96</v>
      </c>
      <c r="H641">
        <f t="shared" si="3"/>
        <v>0</v>
      </c>
    </row>
    <row r="642" spans="6:8">
      <c r="F642">
        <v>1.42</v>
      </c>
      <c r="G642">
        <v>0.96</v>
      </c>
      <c r="H642">
        <f t="shared" si="3"/>
        <v>0</v>
      </c>
    </row>
    <row r="643" spans="6:8">
      <c r="F643">
        <v>1.4219999999999999</v>
      </c>
      <c r="G643">
        <v>0.96</v>
      </c>
      <c r="H643">
        <f t="shared" si="3"/>
        <v>0</v>
      </c>
    </row>
    <row r="644" spans="6:8">
      <c r="F644">
        <v>1.4239999999999999</v>
      </c>
      <c r="G644">
        <v>0.96</v>
      </c>
      <c r="H644">
        <f t="shared" si="3"/>
        <v>0</v>
      </c>
    </row>
    <row r="645" spans="6:8">
      <c r="F645">
        <v>1.4259999999999999</v>
      </c>
      <c r="G645">
        <v>0.96</v>
      </c>
      <c r="H645">
        <f t="shared" si="3"/>
        <v>0</v>
      </c>
    </row>
    <row r="646" spans="6:8">
      <c r="F646">
        <v>1.4279999999999999</v>
      </c>
      <c r="G646">
        <v>0.96</v>
      </c>
      <c r="H646">
        <f t="shared" si="3"/>
        <v>0</v>
      </c>
    </row>
    <row r="647" spans="6:8">
      <c r="F647">
        <v>1.43</v>
      </c>
      <c r="G647">
        <v>0.96</v>
      </c>
      <c r="H647">
        <f t="shared" si="3"/>
        <v>0</v>
      </c>
    </row>
    <row r="648" spans="6:8">
      <c r="F648">
        <v>1.4319999999999999</v>
      </c>
      <c r="G648">
        <v>0.96</v>
      </c>
      <c r="H648">
        <f t="shared" si="3"/>
        <v>0</v>
      </c>
    </row>
    <row r="649" spans="6:8">
      <c r="F649">
        <v>1.4339999999999999</v>
      </c>
      <c r="G649">
        <v>0.96</v>
      </c>
      <c r="H649">
        <f t="shared" si="3"/>
        <v>0</v>
      </c>
    </row>
    <row r="650" spans="6:8">
      <c r="F650">
        <v>1.4359999999999999</v>
      </c>
      <c r="G650">
        <v>0.96</v>
      </c>
      <c r="H650">
        <f t="shared" si="3"/>
        <v>0</v>
      </c>
    </row>
    <row r="651" spans="6:8">
      <c r="F651">
        <v>1.4379999999999999</v>
      </c>
      <c r="G651">
        <v>0.96</v>
      </c>
      <c r="H651">
        <f t="shared" si="3"/>
        <v>0</v>
      </c>
    </row>
    <row r="652" spans="6:8">
      <c r="F652">
        <v>1.44</v>
      </c>
      <c r="G652">
        <v>0.96</v>
      </c>
      <c r="H652">
        <f t="shared" si="3"/>
        <v>0</v>
      </c>
    </row>
    <row r="653" spans="6:8">
      <c r="F653">
        <v>1.4419999999999999</v>
      </c>
      <c r="G653">
        <v>0.96</v>
      </c>
      <c r="H653">
        <f t="shared" si="3"/>
        <v>0</v>
      </c>
    </row>
    <row r="654" spans="6:8">
      <c r="F654">
        <v>1.444</v>
      </c>
      <c r="G654">
        <v>0.96</v>
      </c>
      <c r="H654">
        <f t="shared" si="3"/>
        <v>0</v>
      </c>
    </row>
    <row r="655" spans="6:8">
      <c r="F655">
        <v>1.446</v>
      </c>
      <c r="G655">
        <v>0.96</v>
      </c>
      <c r="H655">
        <f t="shared" si="3"/>
        <v>0</v>
      </c>
    </row>
    <row r="656" spans="6:8">
      <c r="F656">
        <v>1.448</v>
      </c>
      <c r="G656">
        <v>0.96</v>
      </c>
      <c r="H656">
        <f t="shared" si="3"/>
        <v>0</v>
      </c>
    </row>
    <row r="657" spans="6:8">
      <c r="F657">
        <v>1.45</v>
      </c>
      <c r="G657">
        <v>0.96</v>
      </c>
      <c r="H657">
        <f t="shared" si="3"/>
        <v>0</v>
      </c>
    </row>
    <row r="658" spans="6:8">
      <c r="F658">
        <v>1.452</v>
      </c>
      <c r="G658">
        <v>0.96</v>
      </c>
      <c r="H658">
        <f t="shared" si="3"/>
        <v>0</v>
      </c>
    </row>
    <row r="659" spans="6:8">
      <c r="F659">
        <v>1.454</v>
      </c>
      <c r="G659">
        <v>0.96</v>
      </c>
      <c r="H659">
        <f t="shared" si="3"/>
        <v>0</v>
      </c>
    </row>
    <row r="660" spans="6:8">
      <c r="F660">
        <v>1.456</v>
      </c>
      <c r="G660">
        <v>0.96</v>
      </c>
      <c r="H660">
        <f t="shared" si="3"/>
        <v>0</v>
      </c>
    </row>
    <row r="661" spans="6:8">
      <c r="F661">
        <v>1.458</v>
      </c>
      <c r="G661">
        <v>0.96</v>
      </c>
      <c r="H661">
        <f t="shared" si="3"/>
        <v>0</v>
      </c>
    </row>
    <row r="662" spans="6:8">
      <c r="F662">
        <v>1.46</v>
      </c>
      <c r="G662">
        <v>0.96</v>
      </c>
      <c r="H662">
        <f t="shared" si="3"/>
        <v>0</v>
      </c>
    </row>
    <row r="663" spans="6:8">
      <c r="F663">
        <v>1.462</v>
      </c>
      <c r="G663">
        <v>0.96</v>
      </c>
      <c r="H663">
        <f t="shared" si="3"/>
        <v>0</v>
      </c>
    </row>
    <row r="664" spans="6:8">
      <c r="F664">
        <v>1.464</v>
      </c>
      <c r="G664">
        <v>0.96</v>
      </c>
      <c r="H664">
        <f t="shared" si="3"/>
        <v>0</v>
      </c>
    </row>
    <row r="665" spans="6:8">
      <c r="F665">
        <v>1.466</v>
      </c>
      <c r="G665">
        <v>0.96</v>
      </c>
      <c r="H665">
        <f t="shared" si="3"/>
        <v>0</v>
      </c>
    </row>
    <row r="666" spans="6:8">
      <c r="F666">
        <v>1.468</v>
      </c>
      <c r="G666">
        <v>0.96</v>
      </c>
      <c r="H666">
        <f t="shared" si="3"/>
        <v>0</v>
      </c>
    </row>
    <row r="667" spans="6:8">
      <c r="F667">
        <v>1.47</v>
      </c>
      <c r="G667">
        <v>0.96</v>
      </c>
      <c r="H667">
        <f t="shared" si="3"/>
        <v>0</v>
      </c>
    </row>
    <row r="668" spans="6:8">
      <c r="F668">
        <v>1.472</v>
      </c>
      <c r="G668">
        <v>0.96</v>
      </c>
      <c r="H668">
        <f t="shared" si="3"/>
        <v>0</v>
      </c>
    </row>
    <row r="669" spans="6:8">
      <c r="F669">
        <v>1.474</v>
      </c>
      <c r="G669">
        <v>0.96</v>
      </c>
      <c r="H669">
        <f t="shared" si="3"/>
        <v>0</v>
      </c>
    </row>
    <row r="670" spans="6:8">
      <c r="F670">
        <v>1.476</v>
      </c>
      <c r="G670">
        <v>0.96</v>
      </c>
      <c r="H670">
        <f t="shared" si="3"/>
        <v>0</v>
      </c>
    </row>
    <row r="671" spans="6:8">
      <c r="F671">
        <v>1.478</v>
      </c>
      <c r="G671">
        <v>0.96</v>
      </c>
      <c r="H671">
        <f t="shared" si="3"/>
        <v>0</v>
      </c>
    </row>
    <row r="672" spans="6:8">
      <c r="F672">
        <v>1.48</v>
      </c>
      <c r="G672">
        <v>0.96</v>
      </c>
      <c r="H672">
        <f t="shared" si="3"/>
        <v>0</v>
      </c>
    </row>
    <row r="673" spans="6:8">
      <c r="F673">
        <v>1.482</v>
      </c>
      <c r="G673">
        <v>0.96</v>
      </c>
      <c r="H673">
        <f t="shared" si="3"/>
        <v>0</v>
      </c>
    </row>
    <row r="674" spans="6:8">
      <c r="F674">
        <v>1.484</v>
      </c>
      <c r="G674">
        <v>0.96</v>
      </c>
      <c r="H674">
        <f t="shared" si="3"/>
        <v>0</v>
      </c>
    </row>
    <row r="675" spans="6:8">
      <c r="F675">
        <v>1.486</v>
      </c>
      <c r="G675">
        <v>0.96</v>
      </c>
      <c r="H675">
        <f t="shared" si="3"/>
        <v>0</v>
      </c>
    </row>
    <row r="676" spans="6:8">
      <c r="F676">
        <v>1.488</v>
      </c>
      <c r="G676">
        <v>0.96</v>
      </c>
      <c r="H676">
        <f t="shared" si="3"/>
        <v>0</v>
      </c>
    </row>
    <row r="677" spans="6:8">
      <c r="F677">
        <v>1.49</v>
      </c>
      <c r="G677">
        <v>0.96</v>
      </c>
      <c r="H677">
        <f t="shared" si="3"/>
        <v>0</v>
      </c>
    </row>
    <row r="678" spans="6:8">
      <c r="F678">
        <v>1.492</v>
      </c>
      <c r="G678">
        <v>0.96</v>
      </c>
      <c r="H678">
        <f t="shared" si="3"/>
        <v>0</v>
      </c>
    </row>
    <row r="679" spans="6:8">
      <c r="F679">
        <v>1.494</v>
      </c>
      <c r="G679">
        <v>0.96</v>
      </c>
      <c r="H679">
        <f t="shared" si="3"/>
        <v>0</v>
      </c>
    </row>
    <row r="680" spans="6:8">
      <c r="F680">
        <v>1.496</v>
      </c>
      <c r="G680">
        <v>0.96</v>
      </c>
      <c r="H680">
        <f t="shared" si="3"/>
        <v>0</v>
      </c>
    </row>
    <row r="681" spans="6:8">
      <c r="F681">
        <v>1.498</v>
      </c>
      <c r="G681">
        <v>0.96</v>
      </c>
      <c r="H681">
        <f t="shared" si="3"/>
        <v>0</v>
      </c>
    </row>
    <row r="682" spans="6:8">
      <c r="F682">
        <v>1.5</v>
      </c>
      <c r="G682">
        <v>0.96</v>
      </c>
      <c r="H682">
        <f t="shared" si="3"/>
        <v>0</v>
      </c>
    </row>
    <row r="683" spans="6:8">
      <c r="F683">
        <v>1.502</v>
      </c>
      <c r="G683">
        <v>0.96</v>
      </c>
      <c r="H683">
        <f t="shared" si="3"/>
        <v>0</v>
      </c>
    </row>
    <row r="684" spans="6:8">
      <c r="F684">
        <v>1.504</v>
      </c>
      <c r="G684">
        <v>0.96</v>
      </c>
      <c r="H684">
        <f t="shared" si="3"/>
        <v>0</v>
      </c>
    </row>
    <row r="685" spans="6:8">
      <c r="F685">
        <v>1.506</v>
      </c>
      <c r="G685">
        <v>0.96</v>
      </c>
      <c r="H685">
        <f t="shared" si="3"/>
        <v>0</v>
      </c>
    </row>
    <row r="686" spans="6:8">
      <c r="F686">
        <v>1.508</v>
      </c>
      <c r="G686">
        <v>0.96</v>
      </c>
      <c r="H686">
        <f t="shared" si="3"/>
        <v>0</v>
      </c>
    </row>
    <row r="687" spans="6:8">
      <c r="F687">
        <v>1.51</v>
      </c>
      <c r="G687">
        <v>0.96</v>
      </c>
      <c r="H687">
        <f t="shared" si="3"/>
        <v>0</v>
      </c>
    </row>
    <row r="688" spans="6:8">
      <c r="F688">
        <v>1.512</v>
      </c>
      <c r="G688">
        <v>0.96</v>
      </c>
      <c r="H688">
        <f t="shared" si="3"/>
        <v>0</v>
      </c>
    </row>
    <row r="689" spans="6:8">
      <c r="F689">
        <v>1.514</v>
      </c>
      <c r="G689">
        <v>0.96</v>
      </c>
      <c r="H689">
        <f t="shared" si="3"/>
        <v>0</v>
      </c>
    </row>
    <row r="690" spans="6:8">
      <c r="F690">
        <v>1.516</v>
      </c>
      <c r="G690">
        <v>0.96</v>
      </c>
      <c r="H690">
        <f t="shared" si="3"/>
        <v>0</v>
      </c>
    </row>
    <row r="691" spans="6:8">
      <c r="F691">
        <v>1.518</v>
      </c>
      <c r="G691">
        <v>0.96</v>
      </c>
      <c r="H691">
        <f t="shared" si="3"/>
        <v>0</v>
      </c>
    </row>
    <row r="692" spans="6:8">
      <c r="F692">
        <v>1.52</v>
      </c>
      <c r="G692">
        <v>0.96</v>
      </c>
      <c r="H692">
        <f t="shared" si="3"/>
        <v>0</v>
      </c>
    </row>
    <row r="693" spans="6:8">
      <c r="F693">
        <v>1.522</v>
      </c>
      <c r="G693">
        <v>0.96</v>
      </c>
      <c r="H693">
        <f t="shared" si="3"/>
        <v>0</v>
      </c>
    </row>
    <row r="694" spans="6:8">
      <c r="F694">
        <v>1.524</v>
      </c>
      <c r="G694">
        <v>0.96</v>
      </c>
      <c r="H694">
        <f t="shared" si="3"/>
        <v>0</v>
      </c>
    </row>
    <row r="695" spans="6:8">
      <c r="F695">
        <v>1.526</v>
      </c>
      <c r="G695">
        <v>0.96</v>
      </c>
      <c r="H695">
        <f t="shared" si="3"/>
        <v>0</v>
      </c>
    </row>
    <row r="696" spans="6:8">
      <c r="F696">
        <v>1.528</v>
      </c>
      <c r="G696">
        <v>0.96</v>
      </c>
      <c r="H696">
        <f t="shared" si="3"/>
        <v>0</v>
      </c>
    </row>
    <row r="697" spans="6:8">
      <c r="F697">
        <v>1.53</v>
      </c>
      <c r="G697">
        <v>0.96</v>
      </c>
      <c r="H697">
        <f t="shared" si="3"/>
        <v>0</v>
      </c>
    </row>
    <row r="698" spans="6:8">
      <c r="F698">
        <v>1.532</v>
      </c>
      <c r="G698">
        <v>0.96</v>
      </c>
      <c r="H698">
        <f t="shared" si="3"/>
        <v>0</v>
      </c>
    </row>
    <row r="699" spans="6:8">
      <c r="F699">
        <v>1.534</v>
      </c>
      <c r="G699">
        <v>0.96</v>
      </c>
      <c r="H699">
        <f t="shared" si="3"/>
        <v>0</v>
      </c>
    </row>
    <row r="700" spans="6:8">
      <c r="F700">
        <v>1.536</v>
      </c>
      <c r="G700">
        <v>0.96</v>
      </c>
      <c r="H700">
        <f t="shared" si="3"/>
        <v>0</v>
      </c>
    </row>
    <row r="701" spans="6:8">
      <c r="F701">
        <v>1.538</v>
      </c>
      <c r="G701">
        <v>0.96</v>
      </c>
      <c r="H701">
        <f t="shared" si="3"/>
        <v>0</v>
      </c>
    </row>
    <row r="702" spans="6:8">
      <c r="F702">
        <v>1.54</v>
      </c>
      <c r="G702">
        <v>0.96</v>
      </c>
      <c r="H702">
        <f t="shared" si="3"/>
        <v>0</v>
      </c>
    </row>
    <row r="703" spans="6:8">
      <c r="F703">
        <v>1.542</v>
      </c>
      <c r="G703">
        <v>0.96</v>
      </c>
      <c r="H703">
        <f t="shared" si="3"/>
        <v>0</v>
      </c>
    </row>
    <row r="704" spans="6:8">
      <c r="F704">
        <v>1.544</v>
      </c>
      <c r="G704">
        <v>0.96</v>
      </c>
      <c r="H704">
        <f t="shared" ref="H704:H767" si="4">$J$2-G704</f>
        <v>0</v>
      </c>
    </row>
    <row r="705" spans="6:8">
      <c r="F705">
        <v>1.546</v>
      </c>
      <c r="G705">
        <v>0.96</v>
      </c>
      <c r="H705">
        <f t="shared" si="4"/>
        <v>0</v>
      </c>
    </row>
    <row r="706" spans="6:8">
      <c r="F706">
        <v>1.548</v>
      </c>
      <c r="G706">
        <v>0.96</v>
      </c>
      <c r="H706">
        <f t="shared" si="4"/>
        <v>0</v>
      </c>
    </row>
    <row r="707" spans="6:8">
      <c r="F707">
        <v>1.55</v>
      </c>
      <c r="G707">
        <v>0.96</v>
      </c>
      <c r="H707">
        <f t="shared" si="4"/>
        <v>0</v>
      </c>
    </row>
    <row r="708" spans="6:8">
      <c r="F708">
        <v>1.552</v>
      </c>
      <c r="G708">
        <v>0.96</v>
      </c>
      <c r="H708">
        <f t="shared" si="4"/>
        <v>0</v>
      </c>
    </row>
    <row r="709" spans="6:8">
      <c r="F709">
        <v>1.554</v>
      </c>
      <c r="G709">
        <v>0.96</v>
      </c>
      <c r="H709">
        <f t="shared" si="4"/>
        <v>0</v>
      </c>
    </row>
    <row r="710" spans="6:8">
      <c r="F710">
        <v>1.556</v>
      </c>
      <c r="G710">
        <v>0.96</v>
      </c>
      <c r="H710">
        <f t="shared" si="4"/>
        <v>0</v>
      </c>
    </row>
    <row r="711" spans="6:8">
      <c r="F711">
        <v>1.5580000000000001</v>
      </c>
      <c r="G711">
        <v>0.96</v>
      </c>
      <c r="H711">
        <f t="shared" si="4"/>
        <v>0</v>
      </c>
    </row>
    <row r="712" spans="6:8">
      <c r="F712">
        <v>1.56</v>
      </c>
      <c r="G712">
        <v>0.96</v>
      </c>
      <c r="H712">
        <f t="shared" si="4"/>
        <v>0</v>
      </c>
    </row>
    <row r="713" spans="6:8">
      <c r="F713">
        <v>1.5620000000000001</v>
      </c>
      <c r="G713">
        <v>0.96</v>
      </c>
      <c r="H713">
        <f t="shared" si="4"/>
        <v>0</v>
      </c>
    </row>
    <row r="714" spans="6:8">
      <c r="F714">
        <v>1.5640000000000001</v>
      </c>
      <c r="G714">
        <v>0.96</v>
      </c>
      <c r="H714">
        <f t="shared" si="4"/>
        <v>0</v>
      </c>
    </row>
    <row r="715" spans="6:8">
      <c r="F715">
        <v>1.5660000000000001</v>
      </c>
      <c r="G715">
        <v>0.96</v>
      </c>
      <c r="H715">
        <f t="shared" si="4"/>
        <v>0</v>
      </c>
    </row>
    <row r="716" spans="6:8">
      <c r="F716">
        <v>1.5680000000000001</v>
      </c>
      <c r="G716">
        <v>0.96</v>
      </c>
      <c r="H716">
        <f t="shared" si="4"/>
        <v>0</v>
      </c>
    </row>
    <row r="717" spans="6:8">
      <c r="F717">
        <v>1.57</v>
      </c>
      <c r="G717">
        <v>0.96</v>
      </c>
      <c r="H717">
        <f t="shared" si="4"/>
        <v>0</v>
      </c>
    </row>
    <row r="718" spans="6:8">
      <c r="F718">
        <v>1.5720000000000001</v>
      </c>
      <c r="G718">
        <v>0.96</v>
      </c>
      <c r="H718">
        <f t="shared" si="4"/>
        <v>0</v>
      </c>
    </row>
    <row r="719" spans="6:8">
      <c r="F719">
        <v>1.5740000000000001</v>
      </c>
      <c r="G719">
        <v>0.96</v>
      </c>
      <c r="H719">
        <f t="shared" si="4"/>
        <v>0</v>
      </c>
    </row>
    <row r="720" spans="6:8">
      <c r="F720">
        <v>1.5760000000000001</v>
      </c>
      <c r="G720">
        <v>0.96</v>
      </c>
      <c r="H720">
        <f t="shared" si="4"/>
        <v>0</v>
      </c>
    </row>
    <row r="721" spans="6:8">
      <c r="F721">
        <v>1.5780000000000001</v>
      </c>
      <c r="G721">
        <v>0.96</v>
      </c>
      <c r="H721">
        <f t="shared" si="4"/>
        <v>0</v>
      </c>
    </row>
    <row r="722" spans="6:8">
      <c r="F722">
        <v>1.58</v>
      </c>
      <c r="G722">
        <v>0.96</v>
      </c>
      <c r="H722">
        <f t="shared" si="4"/>
        <v>0</v>
      </c>
    </row>
    <row r="723" spans="6:8">
      <c r="F723">
        <v>1.5820000000000001</v>
      </c>
      <c r="G723">
        <v>0.96</v>
      </c>
      <c r="H723">
        <f t="shared" si="4"/>
        <v>0</v>
      </c>
    </row>
    <row r="724" spans="6:8">
      <c r="F724">
        <v>1.5840000000000001</v>
      </c>
      <c r="G724">
        <v>0.96</v>
      </c>
      <c r="H724">
        <f t="shared" si="4"/>
        <v>0</v>
      </c>
    </row>
    <row r="725" spans="6:8">
      <c r="F725">
        <v>1.5860000000000001</v>
      </c>
      <c r="G725">
        <v>0.96</v>
      </c>
      <c r="H725">
        <f t="shared" si="4"/>
        <v>0</v>
      </c>
    </row>
    <row r="726" spans="6:8">
      <c r="F726">
        <v>1.5880000000000001</v>
      </c>
      <c r="G726">
        <v>0.96</v>
      </c>
      <c r="H726">
        <f t="shared" si="4"/>
        <v>0</v>
      </c>
    </row>
    <row r="727" spans="6:8">
      <c r="F727">
        <v>1.59</v>
      </c>
      <c r="G727">
        <v>0.96</v>
      </c>
      <c r="H727">
        <f t="shared" si="4"/>
        <v>0</v>
      </c>
    </row>
    <row r="728" spans="6:8">
      <c r="F728">
        <v>1.5920000000000001</v>
      </c>
      <c r="G728">
        <v>0.96</v>
      </c>
      <c r="H728">
        <f t="shared" si="4"/>
        <v>0</v>
      </c>
    </row>
    <row r="729" spans="6:8">
      <c r="F729">
        <v>1.5940000000000001</v>
      </c>
      <c r="G729">
        <v>0.96</v>
      </c>
      <c r="H729">
        <f t="shared" si="4"/>
        <v>0</v>
      </c>
    </row>
    <row r="730" spans="6:8">
      <c r="F730">
        <v>1.5960000000000001</v>
      </c>
      <c r="G730">
        <v>0.96</v>
      </c>
      <c r="H730">
        <f t="shared" si="4"/>
        <v>0</v>
      </c>
    </row>
    <row r="731" spans="6:8">
      <c r="F731">
        <v>1.5980000000000001</v>
      </c>
      <c r="G731">
        <v>0.96</v>
      </c>
      <c r="H731">
        <f t="shared" si="4"/>
        <v>0</v>
      </c>
    </row>
    <row r="732" spans="6:8">
      <c r="F732">
        <v>1.6</v>
      </c>
      <c r="G732">
        <v>0.96</v>
      </c>
      <c r="H732">
        <f t="shared" si="4"/>
        <v>0</v>
      </c>
    </row>
    <row r="733" spans="6:8">
      <c r="F733">
        <v>1.6020000000000001</v>
      </c>
      <c r="G733">
        <v>0.96</v>
      </c>
      <c r="H733">
        <f t="shared" si="4"/>
        <v>0</v>
      </c>
    </row>
    <row r="734" spans="6:8">
      <c r="F734">
        <v>1.6040000000000001</v>
      </c>
      <c r="G734">
        <v>0.96</v>
      </c>
      <c r="H734">
        <f t="shared" si="4"/>
        <v>0</v>
      </c>
    </row>
    <row r="735" spans="6:8">
      <c r="F735">
        <v>1.6060000000000001</v>
      </c>
      <c r="G735">
        <v>0.96</v>
      </c>
      <c r="H735">
        <f t="shared" si="4"/>
        <v>0</v>
      </c>
    </row>
    <row r="736" spans="6:8">
      <c r="F736">
        <v>1.6080000000000001</v>
      </c>
      <c r="G736">
        <v>0.96</v>
      </c>
      <c r="H736">
        <f t="shared" si="4"/>
        <v>0</v>
      </c>
    </row>
    <row r="737" spans="6:8">
      <c r="F737">
        <v>1.61</v>
      </c>
      <c r="G737">
        <v>0.96</v>
      </c>
      <c r="H737">
        <f t="shared" si="4"/>
        <v>0</v>
      </c>
    </row>
    <row r="738" spans="6:8">
      <c r="F738">
        <v>1.6120000000000001</v>
      </c>
      <c r="G738">
        <v>0.96</v>
      </c>
      <c r="H738">
        <f t="shared" si="4"/>
        <v>0</v>
      </c>
    </row>
    <row r="739" spans="6:8">
      <c r="F739">
        <v>1.6140000000000001</v>
      </c>
      <c r="G739">
        <v>0.96</v>
      </c>
      <c r="H739">
        <f t="shared" si="4"/>
        <v>0</v>
      </c>
    </row>
    <row r="740" spans="6:8">
      <c r="F740">
        <v>1.6160000000000001</v>
      </c>
      <c r="G740">
        <v>0.96</v>
      </c>
      <c r="H740">
        <f t="shared" si="4"/>
        <v>0</v>
      </c>
    </row>
    <row r="741" spans="6:8">
      <c r="F741">
        <v>1.6180000000000001</v>
      </c>
      <c r="G741">
        <v>0.96</v>
      </c>
      <c r="H741">
        <f t="shared" si="4"/>
        <v>0</v>
      </c>
    </row>
    <row r="742" spans="6:8">
      <c r="F742">
        <v>1.62</v>
      </c>
      <c r="G742">
        <v>0.96</v>
      </c>
      <c r="H742">
        <f t="shared" si="4"/>
        <v>0</v>
      </c>
    </row>
    <row r="743" spans="6:8">
      <c r="F743">
        <v>1.6220000000000001</v>
      </c>
      <c r="G743">
        <v>0.96</v>
      </c>
      <c r="H743">
        <f t="shared" si="4"/>
        <v>0</v>
      </c>
    </row>
    <row r="744" spans="6:8">
      <c r="F744">
        <v>1.6240000000000001</v>
      </c>
      <c r="G744">
        <v>0.96</v>
      </c>
      <c r="H744">
        <f t="shared" si="4"/>
        <v>0</v>
      </c>
    </row>
    <row r="745" spans="6:8">
      <c r="F745">
        <v>1.6259999999999999</v>
      </c>
      <c r="G745">
        <v>0.96</v>
      </c>
      <c r="H745">
        <f t="shared" si="4"/>
        <v>0</v>
      </c>
    </row>
    <row r="746" spans="6:8">
      <c r="F746">
        <v>1.6279999999999999</v>
      </c>
      <c r="G746">
        <v>0.96</v>
      </c>
      <c r="H746">
        <f t="shared" si="4"/>
        <v>0</v>
      </c>
    </row>
    <row r="747" spans="6:8">
      <c r="F747">
        <v>1.63</v>
      </c>
      <c r="G747">
        <v>0.96</v>
      </c>
      <c r="H747">
        <f t="shared" si="4"/>
        <v>0</v>
      </c>
    </row>
    <row r="748" spans="6:8">
      <c r="F748">
        <v>1.6319999999999999</v>
      </c>
      <c r="G748">
        <v>0.96</v>
      </c>
      <c r="H748">
        <f t="shared" si="4"/>
        <v>0</v>
      </c>
    </row>
    <row r="749" spans="6:8">
      <c r="F749">
        <v>1.6339999999999999</v>
      </c>
      <c r="G749">
        <v>0.96</v>
      </c>
      <c r="H749">
        <f t="shared" si="4"/>
        <v>0</v>
      </c>
    </row>
    <row r="750" spans="6:8">
      <c r="F750">
        <v>1.6359999999999999</v>
      </c>
      <c r="G750">
        <v>0.96</v>
      </c>
      <c r="H750">
        <f t="shared" si="4"/>
        <v>0</v>
      </c>
    </row>
    <row r="751" spans="6:8">
      <c r="F751">
        <v>1.6379999999999999</v>
      </c>
      <c r="G751">
        <v>0.96</v>
      </c>
      <c r="H751">
        <f t="shared" si="4"/>
        <v>0</v>
      </c>
    </row>
    <row r="752" spans="6:8">
      <c r="F752">
        <v>1.64</v>
      </c>
      <c r="G752">
        <v>0.96</v>
      </c>
      <c r="H752">
        <f t="shared" si="4"/>
        <v>0</v>
      </c>
    </row>
    <row r="753" spans="6:8">
      <c r="F753">
        <v>1.6419999999999999</v>
      </c>
      <c r="G753">
        <v>0.96</v>
      </c>
      <c r="H753">
        <f t="shared" si="4"/>
        <v>0</v>
      </c>
    </row>
    <row r="754" spans="6:8">
      <c r="F754">
        <v>1.6439999999999999</v>
      </c>
      <c r="G754">
        <v>0.96</v>
      </c>
      <c r="H754">
        <f t="shared" si="4"/>
        <v>0</v>
      </c>
    </row>
    <row r="755" spans="6:8">
      <c r="F755">
        <v>1.6459999999999999</v>
      </c>
      <c r="G755">
        <v>0.96</v>
      </c>
      <c r="H755">
        <f t="shared" si="4"/>
        <v>0</v>
      </c>
    </row>
    <row r="756" spans="6:8">
      <c r="F756">
        <v>1.6479999999999999</v>
      </c>
      <c r="G756">
        <v>0.96</v>
      </c>
      <c r="H756">
        <f t="shared" si="4"/>
        <v>0</v>
      </c>
    </row>
    <row r="757" spans="6:8">
      <c r="F757">
        <v>1.65</v>
      </c>
      <c r="G757">
        <v>0.96</v>
      </c>
      <c r="H757">
        <f t="shared" si="4"/>
        <v>0</v>
      </c>
    </row>
    <row r="758" spans="6:8">
      <c r="F758">
        <v>1.6519999999999999</v>
      </c>
      <c r="G758">
        <v>0.96</v>
      </c>
      <c r="H758">
        <f t="shared" si="4"/>
        <v>0</v>
      </c>
    </row>
    <row r="759" spans="6:8">
      <c r="F759">
        <v>1.6539999999999999</v>
      </c>
      <c r="G759">
        <v>0.96</v>
      </c>
      <c r="H759">
        <f t="shared" si="4"/>
        <v>0</v>
      </c>
    </row>
    <row r="760" spans="6:8">
      <c r="F760">
        <v>1.6559999999999999</v>
      </c>
      <c r="G760">
        <v>0.96</v>
      </c>
      <c r="H760">
        <f t="shared" si="4"/>
        <v>0</v>
      </c>
    </row>
    <row r="761" spans="6:8">
      <c r="F761">
        <v>1.6579999999999999</v>
      </c>
      <c r="G761">
        <v>0.96</v>
      </c>
      <c r="H761">
        <f t="shared" si="4"/>
        <v>0</v>
      </c>
    </row>
    <row r="762" spans="6:8">
      <c r="F762">
        <v>1.66</v>
      </c>
      <c r="G762">
        <v>0.96</v>
      </c>
      <c r="H762">
        <f t="shared" si="4"/>
        <v>0</v>
      </c>
    </row>
    <row r="763" spans="6:8">
      <c r="F763">
        <v>1.6619999999999999</v>
      </c>
      <c r="G763">
        <v>0.96</v>
      </c>
      <c r="H763">
        <f t="shared" si="4"/>
        <v>0</v>
      </c>
    </row>
    <row r="764" spans="6:8">
      <c r="F764">
        <v>1.6639999999999999</v>
      </c>
      <c r="G764">
        <v>0.96</v>
      </c>
      <c r="H764">
        <f t="shared" si="4"/>
        <v>0</v>
      </c>
    </row>
    <row r="765" spans="6:8">
      <c r="F765">
        <v>1.6659999999999999</v>
      </c>
      <c r="G765">
        <v>0.96</v>
      </c>
      <c r="H765">
        <f t="shared" si="4"/>
        <v>0</v>
      </c>
    </row>
    <row r="766" spans="6:8">
      <c r="F766">
        <v>1.6679999999999999</v>
      </c>
      <c r="G766">
        <v>0.96</v>
      </c>
      <c r="H766">
        <f t="shared" si="4"/>
        <v>0</v>
      </c>
    </row>
    <row r="767" spans="6:8">
      <c r="F767">
        <v>1.67</v>
      </c>
      <c r="G767">
        <v>0.96</v>
      </c>
      <c r="H767">
        <f t="shared" si="4"/>
        <v>0</v>
      </c>
    </row>
    <row r="768" spans="6:8">
      <c r="F768">
        <v>1.6719999999999999</v>
      </c>
      <c r="G768">
        <v>0.96</v>
      </c>
      <c r="H768">
        <f t="shared" ref="H768:H831" si="5">$J$2-G768</f>
        <v>0</v>
      </c>
    </row>
    <row r="769" spans="6:8">
      <c r="F769">
        <v>1.6739999999999999</v>
      </c>
      <c r="G769">
        <v>0.96</v>
      </c>
      <c r="H769">
        <f t="shared" si="5"/>
        <v>0</v>
      </c>
    </row>
    <row r="770" spans="6:8">
      <c r="F770">
        <v>1.6759999999999999</v>
      </c>
      <c r="G770">
        <v>0.96</v>
      </c>
      <c r="H770">
        <f t="shared" si="5"/>
        <v>0</v>
      </c>
    </row>
    <row r="771" spans="6:8">
      <c r="F771">
        <v>1.6779999999999999</v>
      </c>
      <c r="G771">
        <v>0.96</v>
      </c>
      <c r="H771">
        <f t="shared" si="5"/>
        <v>0</v>
      </c>
    </row>
    <row r="772" spans="6:8">
      <c r="F772">
        <v>1.68</v>
      </c>
      <c r="G772">
        <v>0.96</v>
      </c>
      <c r="H772">
        <f t="shared" si="5"/>
        <v>0</v>
      </c>
    </row>
    <row r="773" spans="6:8">
      <c r="F773">
        <v>1.6819999999999999</v>
      </c>
      <c r="G773">
        <v>0.96</v>
      </c>
      <c r="H773">
        <f t="shared" si="5"/>
        <v>0</v>
      </c>
    </row>
    <row r="774" spans="6:8">
      <c r="F774">
        <v>1.6839999999999999</v>
      </c>
      <c r="G774">
        <v>0.96</v>
      </c>
      <c r="H774">
        <f t="shared" si="5"/>
        <v>0</v>
      </c>
    </row>
    <row r="775" spans="6:8">
      <c r="F775">
        <v>1.6859999999999999</v>
      </c>
      <c r="G775">
        <v>0.96</v>
      </c>
      <c r="H775">
        <f t="shared" si="5"/>
        <v>0</v>
      </c>
    </row>
    <row r="776" spans="6:8">
      <c r="F776">
        <v>1.6879999999999999</v>
      </c>
      <c r="G776">
        <v>0.96</v>
      </c>
      <c r="H776">
        <f t="shared" si="5"/>
        <v>0</v>
      </c>
    </row>
    <row r="777" spans="6:8">
      <c r="F777">
        <v>1.69</v>
      </c>
      <c r="G777">
        <v>0.96</v>
      </c>
      <c r="H777">
        <f t="shared" si="5"/>
        <v>0</v>
      </c>
    </row>
    <row r="778" spans="6:8">
      <c r="F778">
        <v>1.6919999999999999</v>
      </c>
      <c r="G778">
        <v>0.96</v>
      </c>
      <c r="H778">
        <f t="shared" si="5"/>
        <v>0</v>
      </c>
    </row>
    <row r="779" spans="6:8">
      <c r="F779">
        <v>1.694</v>
      </c>
      <c r="G779">
        <v>0.96</v>
      </c>
      <c r="H779">
        <f t="shared" si="5"/>
        <v>0</v>
      </c>
    </row>
    <row r="780" spans="6:8">
      <c r="F780">
        <v>1.696</v>
      </c>
      <c r="G780">
        <v>0.96</v>
      </c>
      <c r="H780">
        <f t="shared" si="5"/>
        <v>0</v>
      </c>
    </row>
    <row r="781" spans="6:8">
      <c r="F781">
        <v>1.698</v>
      </c>
      <c r="G781">
        <v>0.96</v>
      </c>
      <c r="H781">
        <f t="shared" si="5"/>
        <v>0</v>
      </c>
    </row>
    <row r="782" spans="6:8">
      <c r="F782">
        <v>1.7</v>
      </c>
      <c r="G782">
        <v>0.96</v>
      </c>
      <c r="H782">
        <f t="shared" si="5"/>
        <v>0</v>
      </c>
    </row>
    <row r="783" spans="6:8">
      <c r="F783">
        <v>1.702</v>
      </c>
      <c r="G783">
        <v>0.96</v>
      </c>
      <c r="H783">
        <f t="shared" si="5"/>
        <v>0</v>
      </c>
    </row>
    <row r="784" spans="6:8">
      <c r="F784">
        <v>1.704</v>
      </c>
      <c r="G784">
        <v>0.96</v>
      </c>
      <c r="H784">
        <f t="shared" si="5"/>
        <v>0</v>
      </c>
    </row>
    <row r="785" spans="6:8">
      <c r="F785">
        <v>1.706</v>
      </c>
      <c r="G785">
        <v>0.96</v>
      </c>
      <c r="H785">
        <f t="shared" si="5"/>
        <v>0</v>
      </c>
    </row>
    <row r="786" spans="6:8">
      <c r="F786">
        <v>1.708</v>
      </c>
      <c r="G786">
        <v>0.96</v>
      </c>
      <c r="H786">
        <f t="shared" si="5"/>
        <v>0</v>
      </c>
    </row>
    <row r="787" spans="6:8">
      <c r="F787">
        <v>1.71</v>
      </c>
      <c r="G787">
        <v>0.96</v>
      </c>
      <c r="H787">
        <f t="shared" si="5"/>
        <v>0</v>
      </c>
    </row>
    <row r="788" spans="6:8">
      <c r="F788">
        <v>1.712</v>
      </c>
      <c r="G788">
        <v>0.96</v>
      </c>
      <c r="H788">
        <f t="shared" si="5"/>
        <v>0</v>
      </c>
    </row>
    <row r="789" spans="6:8">
      <c r="F789">
        <v>1.714</v>
      </c>
      <c r="G789">
        <v>0.96</v>
      </c>
      <c r="H789">
        <f t="shared" si="5"/>
        <v>0</v>
      </c>
    </row>
    <row r="790" spans="6:8">
      <c r="F790">
        <v>1.716</v>
      </c>
      <c r="G790">
        <v>0.96</v>
      </c>
      <c r="H790">
        <f t="shared" si="5"/>
        <v>0</v>
      </c>
    </row>
    <row r="791" spans="6:8">
      <c r="F791">
        <v>1.718</v>
      </c>
      <c r="G791">
        <v>0.96</v>
      </c>
      <c r="H791">
        <f t="shared" si="5"/>
        <v>0</v>
      </c>
    </row>
    <row r="792" spans="6:8">
      <c r="F792">
        <v>1.72</v>
      </c>
      <c r="G792">
        <v>0.96</v>
      </c>
      <c r="H792">
        <f t="shared" si="5"/>
        <v>0</v>
      </c>
    </row>
    <row r="793" spans="6:8">
      <c r="F793">
        <v>1.722</v>
      </c>
      <c r="G793">
        <v>0.96</v>
      </c>
      <c r="H793">
        <f t="shared" si="5"/>
        <v>0</v>
      </c>
    </row>
    <row r="794" spans="6:8">
      <c r="F794">
        <v>1.724</v>
      </c>
      <c r="G794">
        <v>0.96</v>
      </c>
      <c r="H794">
        <f t="shared" si="5"/>
        <v>0</v>
      </c>
    </row>
    <row r="795" spans="6:8">
      <c r="F795">
        <v>1.726</v>
      </c>
      <c r="G795">
        <v>0.96</v>
      </c>
      <c r="H795">
        <f t="shared" si="5"/>
        <v>0</v>
      </c>
    </row>
    <row r="796" spans="6:8">
      <c r="F796">
        <v>1.728</v>
      </c>
      <c r="G796">
        <v>0.96</v>
      </c>
      <c r="H796">
        <f t="shared" si="5"/>
        <v>0</v>
      </c>
    </row>
    <row r="797" spans="6:8">
      <c r="F797">
        <v>1.73</v>
      </c>
      <c r="G797">
        <v>0.96</v>
      </c>
      <c r="H797">
        <f t="shared" si="5"/>
        <v>0</v>
      </c>
    </row>
    <row r="798" spans="6:8">
      <c r="F798">
        <v>1.732</v>
      </c>
      <c r="G798">
        <v>0.96</v>
      </c>
      <c r="H798">
        <f t="shared" si="5"/>
        <v>0</v>
      </c>
    </row>
    <row r="799" spans="6:8">
      <c r="F799">
        <v>1.734</v>
      </c>
      <c r="G799">
        <v>0.96</v>
      </c>
      <c r="H799">
        <f t="shared" si="5"/>
        <v>0</v>
      </c>
    </row>
    <row r="800" spans="6:8">
      <c r="F800">
        <v>1.736</v>
      </c>
      <c r="G800">
        <v>0.96</v>
      </c>
      <c r="H800">
        <f t="shared" si="5"/>
        <v>0</v>
      </c>
    </row>
    <row r="801" spans="6:8">
      <c r="F801">
        <v>1.738</v>
      </c>
      <c r="G801">
        <v>0.96</v>
      </c>
      <c r="H801">
        <f t="shared" si="5"/>
        <v>0</v>
      </c>
    </row>
    <row r="802" spans="6:8">
      <c r="F802">
        <v>1.74</v>
      </c>
      <c r="G802">
        <v>0.96</v>
      </c>
      <c r="H802">
        <f t="shared" si="5"/>
        <v>0</v>
      </c>
    </row>
    <row r="803" spans="6:8">
      <c r="F803">
        <v>1.742</v>
      </c>
      <c r="G803">
        <v>0.96</v>
      </c>
      <c r="H803">
        <f t="shared" si="5"/>
        <v>0</v>
      </c>
    </row>
    <row r="804" spans="6:8">
      <c r="F804">
        <v>1.744</v>
      </c>
      <c r="G804">
        <v>0.96</v>
      </c>
      <c r="H804">
        <f t="shared" si="5"/>
        <v>0</v>
      </c>
    </row>
    <row r="805" spans="6:8">
      <c r="F805">
        <v>1.746</v>
      </c>
      <c r="G805">
        <v>0.96</v>
      </c>
      <c r="H805">
        <f t="shared" si="5"/>
        <v>0</v>
      </c>
    </row>
    <row r="806" spans="6:8">
      <c r="F806">
        <v>1.748</v>
      </c>
      <c r="G806">
        <v>0.96</v>
      </c>
      <c r="H806">
        <f t="shared" si="5"/>
        <v>0</v>
      </c>
    </row>
    <row r="807" spans="6:8">
      <c r="F807">
        <v>1.75</v>
      </c>
      <c r="G807">
        <v>0.96</v>
      </c>
      <c r="H807">
        <f t="shared" si="5"/>
        <v>0</v>
      </c>
    </row>
    <row r="808" spans="6:8">
      <c r="F808">
        <v>1.752</v>
      </c>
      <c r="G808">
        <v>0.96</v>
      </c>
      <c r="H808">
        <f t="shared" si="5"/>
        <v>0</v>
      </c>
    </row>
    <row r="809" spans="6:8">
      <c r="F809">
        <v>1.754</v>
      </c>
      <c r="G809">
        <v>0.96</v>
      </c>
      <c r="H809">
        <f t="shared" si="5"/>
        <v>0</v>
      </c>
    </row>
    <row r="810" spans="6:8">
      <c r="F810">
        <v>1.756</v>
      </c>
      <c r="G810">
        <v>0.96</v>
      </c>
      <c r="H810">
        <f t="shared" si="5"/>
        <v>0</v>
      </c>
    </row>
    <row r="811" spans="6:8">
      <c r="F811">
        <v>1.758</v>
      </c>
      <c r="G811">
        <v>0.96</v>
      </c>
      <c r="H811">
        <f t="shared" si="5"/>
        <v>0</v>
      </c>
    </row>
    <row r="812" spans="6:8">
      <c r="F812">
        <v>1.76</v>
      </c>
      <c r="G812">
        <v>0.96</v>
      </c>
      <c r="H812">
        <f t="shared" si="5"/>
        <v>0</v>
      </c>
    </row>
    <row r="813" spans="6:8">
      <c r="F813">
        <v>1.762</v>
      </c>
      <c r="G813">
        <v>0.96</v>
      </c>
      <c r="H813">
        <f t="shared" si="5"/>
        <v>0</v>
      </c>
    </row>
    <row r="814" spans="6:8">
      <c r="F814">
        <v>1.764</v>
      </c>
      <c r="G814">
        <v>0.96</v>
      </c>
      <c r="H814">
        <f t="shared" si="5"/>
        <v>0</v>
      </c>
    </row>
    <row r="815" spans="6:8">
      <c r="F815">
        <v>1.766</v>
      </c>
      <c r="G815">
        <v>0.96</v>
      </c>
      <c r="H815">
        <f t="shared" si="5"/>
        <v>0</v>
      </c>
    </row>
    <row r="816" spans="6:8">
      <c r="F816">
        <v>1.768</v>
      </c>
      <c r="G816">
        <v>0.96</v>
      </c>
      <c r="H816">
        <f t="shared" si="5"/>
        <v>0</v>
      </c>
    </row>
    <row r="817" spans="6:8">
      <c r="F817">
        <v>1.77</v>
      </c>
      <c r="G817">
        <v>0.96</v>
      </c>
      <c r="H817">
        <f t="shared" si="5"/>
        <v>0</v>
      </c>
    </row>
    <row r="818" spans="6:8">
      <c r="F818">
        <v>1.772</v>
      </c>
      <c r="G818">
        <v>0.96</v>
      </c>
      <c r="H818">
        <f t="shared" si="5"/>
        <v>0</v>
      </c>
    </row>
    <row r="819" spans="6:8">
      <c r="F819">
        <v>1.774</v>
      </c>
      <c r="G819">
        <v>0.96</v>
      </c>
      <c r="H819">
        <f t="shared" si="5"/>
        <v>0</v>
      </c>
    </row>
    <row r="820" spans="6:8">
      <c r="F820">
        <v>1.776</v>
      </c>
      <c r="G820">
        <v>0.96</v>
      </c>
      <c r="H820">
        <f t="shared" si="5"/>
        <v>0</v>
      </c>
    </row>
    <row r="821" spans="6:8">
      <c r="F821">
        <v>1.778</v>
      </c>
      <c r="G821">
        <v>0.96</v>
      </c>
      <c r="H821">
        <f t="shared" si="5"/>
        <v>0</v>
      </c>
    </row>
    <row r="822" spans="6:8">
      <c r="F822">
        <v>1.78</v>
      </c>
      <c r="G822">
        <v>0.96</v>
      </c>
      <c r="H822">
        <f t="shared" si="5"/>
        <v>0</v>
      </c>
    </row>
    <row r="823" spans="6:8">
      <c r="F823">
        <v>1.782</v>
      </c>
      <c r="G823">
        <v>0.96</v>
      </c>
      <c r="H823">
        <f t="shared" si="5"/>
        <v>0</v>
      </c>
    </row>
    <row r="824" spans="6:8">
      <c r="F824">
        <v>1.784</v>
      </c>
      <c r="G824">
        <v>0.96</v>
      </c>
      <c r="H824">
        <f t="shared" si="5"/>
        <v>0</v>
      </c>
    </row>
    <row r="825" spans="6:8">
      <c r="F825">
        <v>1.786</v>
      </c>
      <c r="G825">
        <v>0.96</v>
      </c>
      <c r="H825">
        <f t="shared" si="5"/>
        <v>0</v>
      </c>
    </row>
    <row r="826" spans="6:8">
      <c r="F826">
        <v>1.788</v>
      </c>
      <c r="G826">
        <v>0.96</v>
      </c>
      <c r="H826">
        <f t="shared" si="5"/>
        <v>0</v>
      </c>
    </row>
    <row r="827" spans="6:8">
      <c r="F827">
        <v>1.79</v>
      </c>
      <c r="G827">
        <v>0.96</v>
      </c>
      <c r="H827">
        <f t="shared" si="5"/>
        <v>0</v>
      </c>
    </row>
    <row r="828" spans="6:8">
      <c r="F828">
        <v>1.792</v>
      </c>
      <c r="G828">
        <v>0.96</v>
      </c>
      <c r="H828">
        <f t="shared" si="5"/>
        <v>0</v>
      </c>
    </row>
    <row r="829" spans="6:8">
      <c r="F829">
        <v>1.794</v>
      </c>
      <c r="G829">
        <v>0.96</v>
      </c>
      <c r="H829">
        <f t="shared" si="5"/>
        <v>0</v>
      </c>
    </row>
    <row r="830" spans="6:8">
      <c r="F830">
        <v>1.796</v>
      </c>
      <c r="G830">
        <v>0.96</v>
      </c>
      <c r="H830">
        <f t="shared" si="5"/>
        <v>0</v>
      </c>
    </row>
    <row r="831" spans="6:8">
      <c r="F831">
        <v>1.798</v>
      </c>
      <c r="G831">
        <v>0.96</v>
      </c>
      <c r="H831">
        <f t="shared" si="5"/>
        <v>0</v>
      </c>
    </row>
    <row r="832" spans="6:8">
      <c r="F832">
        <v>1.8</v>
      </c>
      <c r="G832">
        <v>0.96</v>
      </c>
      <c r="H832">
        <f t="shared" ref="H832:H895" si="6">$J$2-G832</f>
        <v>0</v>
      </c>
    </row>
    <row r="833" spans="6:8">
      <c r="F833">
        <v>1.802</v>
      </c>
      <c r="G833">
        <v>0.96</v>
      </c>
      <c r="H833">
        <f t="shared" si="6"/>
        <v>0</v>
      </c>
    </row>
    <row r="834" spans="6:8">
      <c r="F834">
        <v>1.804</v>
      </c>
      <c r="G834">
        <v>0.96</v>
      </c>
      <c r="H834">
        <f t="shared" si="6"/>
        <v>0</v>
      </c>
    </row>
    <row r="835" spans="6:8">
      <c r="F835">
        <v>1.806</v>
      </c>
      <c r="G835">
        <v>0.96</v>
      </c>
      <c r="H835">
        <f t="shared" si="6"/>
        <v>0</v>
      </c>
    </row>
    <row r="836" spans="6:8">
      <c r="F836">
        <v>1.8080000000000001</v>
      </c>
      <c r="G836">
        <v>0.96</v>
      </c>
      <c r="H836">
        <f t="shared" si="6"/>
        <v>0</v>
      </c>
    </row>
    <row r="837" spans="6:8">
      <c r="F837">
        <v>1.81</v>
      </c>
      <c r="G837">
        <v>0.96</v>
      </c>
      <c r="H837">
        <f t="shared" si="6"/>
        <v>0</v>
      </c>
    </row>
    <row r="838" spans="6:8">
      <c r="F838">
        <v>1.8120000000000001</v>
      </c>
      <c r="G838">
        <v>0.96</v>
      </c>
      <c r="H838">
        <f t="shared" si="6"/>
        <v>0</v>
      </c>
    </row>
    <row r="839" spans="6:8">
      <c r="F839">
        <v>1.8140000000000001</v>
      </c>
      <c r="G839">
        <v>0.96</v>
      </c>
      <c r="H839">
        <f t="shared" si="6"/>
        <v>0</v>
      </c>
    </row>
    <row r="840" spans="6:8">
      <c r="F840">
        <v>1.8160000000000001</v>
      </c>
      <c r="G840">
        <v>0.96</v>
      </c>
      <c r="H840">
        <f t="shared" si="6"/>
        <v>0</v>
      </c>
    </row>
    <row r="841" spans="6:8">
      <c r="F841">
        <v>1.8180000000000001</v>
      </c>
      <c r="G841">
        <v>0.96</v>
      </c>
      <c r="H841">
        <f t="shared" si="6"/>
        <v>0</v>
      </c>
    </row>
    <row r="842" spans="6:8">
      <c r="F842">
        <v>1.82</v>
      </c>
      <c r="G842">
        <v>0.96</v>
      </c>
      <c r="H842">
        <f t="shared" si="6"/>
        <v>0</v>
      </c>
    </row>
    <row r="843" spans="6:8">
      <c r="F843">
        <v>1.8220000000000001</v>
      </c>
      <c r="G843">
        <v>0.96</v>
      </c>
      <c r="H843">
        <f t="shared" si="6"/>
        <v>0</v>
      </c>
    </row>
    <row r="844" spans="6:8">
      <c r="F844">
        <v>1.8240000000000001</v>
      </c>
      <c r="G844">
        <v>0.96</v>
      </c>
      <c r="H844">
        <f t="shared" si="6"/>
        <v>0</v>
      </c>
    </row>
    <row r="845" spans="6:8">
      <c r="F845">
        <v>1.8260000000000001</v>
      </c>
      <c r="G845">
        <v>0.96</v>
      </c>
      <c r="H845">
        <f t="shared" si="6"/>
        <v>0</v>
      </c>
    </row>
    <row r="846" spans="6:8">
      <c r="F846">
        <v>1.8280000000000001</v>
      </c>
      <c r="G846">
        <v>0.96</v>
      </c>
      <c r="H846">
        <f t="shared" si="6"/>
        <v>0</v>
      </c>
    </row>
    <row r="847" spans="6:8">
      <c r="F847">
        <v>1.83</v>
      </c>
      <c r="G847">
        <v>0.96</v>
      </c>
      <c r="H847">
        <f t="shared" si="6"/>
        <v>0</v>
      </c>
    </row>
    <row r="848" spans="6:8">
      <c r="F848">
        <v>1.8320000000000001</v>
      </c>
      <c r="G848">
        <v>0.96</v>
      </c>
      <c r="H848">
        <f t="shared" si="6"/>
        <v>0</v>
      </c>
    </row>
    <row r="849" spans="6:8">
      <c r="F849">
        <v>1.8340000000000001</v>
      </c>
      <c r="G849">
        <v>0.96</v>
      </c>
      <c r="H849">
        <f t="shared" si="6"/>
        <v>0</v>
      </c>
    </row>
    <row r="850" spans="6:8">
      <c r="F850">
        <v>1.8360000000000001</v>
      </c>
      <c r="G850">
        <v>0.96</v>
      </c>
      <c r="H850">
        <f t="shared" si="6"/>
        <v>0</v>
      </c>
    </row>
    <row r="851" spans="6:8">
      <c r="F851">
        <v>1.8380000000000001</v>
      </c>
      <c r="G851">
        <v>0.96</v>
      </c>
      <c r="H851">
        <f t="shared" si="6"/>
        <v>0</v>
      </c>
    </row>
    <row r="852" spans="6:8">
      <c r="F852">
        <v>1.84</v>
      </c>
      <c r="G852">
        <v>0.96</v>
      </c>
      <c r="H852">
        <f t="shared" si="6"/>
        <v>0</v>
      </c>
    </row>
    <row r="853" spans="6:8">
      <c r="F853">
        <v>1.8420000000000001</v>
      </c>
      <c r="G853">
        <v>0.96</v>
      </c>
      <c r="H853">
        <f t="shared" si="6"/>
        <v>0</v>
      </c>
    </row>
    <row r="854" spans="6:8">
      <c r="F854">
        <v>1.8440000000000001</v>
      </c>
      <c r="G854">
        <v>0.96</v>
      </c>
      <c r="H854">
        <f t="shared" si="6"/>
        <v>0</v>
      </c>
    </row>
    <row r="855" spans="6:8">
      <c r="F855">
        <v>1.8460000000000001</v>
      </c>
      <c r="G855">
        <v>0.96</v>
      </c>
      <c r="H855">
        <f t="shared" si="6"/>
        <v>0</v>
      </c>
    </row>
    <row r="856" spans="6:8">
      <c r="F856">
        <v>1.8480000000000001</v>
      </c>
      <c r="G856">
        <v>0.96</v>
      </c>
      <c r="H856">
        <f t="shared" si="6"/>
        <v>0</v>
      </c>
    </row>
    <row r="857" spans="6:8">
      <c r="F857">
        <v>1.85</v>
      </c>
      <c r="G857">
        <v>0.96</v>
      </c>
      <c r="H857">
        <f t="shared" si="6"/>
        <v>0</v>
      </c>
    </row>
    <row r="858" spans="6:8">
      <c r="F858">
        <v>1.8520000000000001</v>
      </c>
      <c r="G858">
        <v>0.96</v>
      </c>
      <c r="H858">
        <f t="shared" si="6"/>
        <v>0</v>
      </c>
    </row>
    <row r="859" spans="6:8">
      <c r="F859">
        <v>1.8540000000000001</v>
      </c>
      <c r="G859">
        <v>0.96</v>
      </c>
      <c r="H859">
        <f t="shared" si="6"/>
        <v>0</v>
      </c>
    </row>
    <row r="860" spans="6:8">
      <c r="F860">
        <v>1.8560000000000001</v>
      </c>
      <c r="G860">
        <v>0.96</v>
      </c>
      <c r="H860">
        <f t="shared" si="6"/>
        <v>0</v>
      </c>
    </row>
    <row r="861" spans="6:8">
      <c r="F861">
        <v>1.8580000000000001</v>
      </c>
      <c r="G861">
        <v>0.96</v>
      </c>
      <c r="H861">
        <f t="shared" si="6"/>
        <v>0</v>
      </c>
    </row>
    <row r="862" spans="6:8">
      <c r="F862">
        <v>1.86</v>
      </c>
      <c r="G862">
        <v>0.96</v>
      </c>
      <c r="H862">
        <f t="shared" si="6"/>
        <v>0</v>
      </c>
    </row>
    <row r="863" spans="6:8">
      <c r="F863">
        <v>1.8620000000000001</v>
      </c>
      <c r="G863">
        <v>0.96</v>
      </c>
      <c r="H863">
        <f t="shared" si="6"/>
        <v>0</v>
      </c>
    </row>
    <row r="864" spans="6:8">
      <c r="F864">
        <v>1.8640000000000001</v>
      </c>
      <c r="G864">
        <v>0.96</v>
      </c>
      <c r="H864">
        <f t="shared" si="6"/>
        <v>0</v>
      </c>
    </row>
    <row r="865" spans="6:8">
      <c r="F865">
        <v>1.8660000000000001</v>
      </c>
      <c r="G865">
        <v>0.96</v>
      </c>
      <c r="H865">
        <f t="shared" si="6"/>
        <v>0</v>
      </c>
    </row>
    <row r="866" spans="6:8">
      <c r="F866">
        <v>1.8680000000000001</v>
      </c>
      <c r="G866">
        <v>0.96</v>
      </c>
      <c r="H866">
        <f t="shared" si="6"/>
        <v>0</v>
      </c>
    </row>
    <row r="867" spans="6:8">
      <c r="F867">
        <v>1.87</v>
      </c>
      <c r="G867">
        <v>0.96</v>
      </c>
      <c r="H867">
        <f t="shared" si="6"/>
        <v>0</v>
      </c>
    </row>
    <row r="868" spans="6:8">
      <c r="F868">
        <v>1.8720000000000001</v>
      </c>
      <c r="G868">
        <v>0.96</v>
      </c>
      <c r="H868">
        <f t="shared" si="6"/>
        <v>0</v>
      </c>
    </row>
    <row r="869" spans="6:8">
      <c r="F869">
        <v>1.8740000000000001</v>
      </c>
      <c r="G869">
        <v>0.96</v>
      </c>
      <c r="H869">
        <f t="shared" si="6"/>
        <v>0</v>
      </c>
    </row>
    <row r="870" spans="6:8">
      <c r="F870">
        <v>1.8759999999999999</v>
      </c>
      <c r="G870">
        <v>0.96</v>
      </c>
      <c r="H870">
        <f t="shared" si="6"/>
        <v>0</v>
      </c>
    </row>
    <row r="871" spans="6:8">
      <c r="F871">
        <v>1.8779999999999999</v>
      </c>
      <c r="G871">
        <v>0.96</v>
      </c>
      <c r="H871">
        <f t="shared" si="6"/>
        <v>0</v>
      </c>
    </row>
    <row r="872" spans="6:8">
      <c r="F872">
        <v>1.88</v>
      </c>
      <c r="G872">
        <v>0.96</v>
      </c>
      <c r="H872">
        <f t="shared" si="6"/>
        <v>0</v>
      </c>
    </row>
    <row r="873" spans="6:8">
      <c r="F873">
        <v>1.8819999999999999</v>
      </c>
      <c r="G873">
        <v>0.96</v>
      </c>
      <c r="H873">
        <f t="shared" si="6"/>
        <v>0</v>
      </c>
    </row>
    <row r="874" spans="6:8">
      <c r="F874">
        <v>1.8839999999999999</v>
      </c>
      <c r="G874">
        <v>0.96</v>
      </c>
      <c r="H874">
        <f t="shared" si="6"/>
        <v>0</v>
      </c>
    </row>
    <row r="875" spans="6:8">
      <c r="F875">
        <v>1.8859999999999999</v>
      </c>
      <c r="G875">
        <v>0.96</v>
      </c>
      <c r="H875">
        <f t="shared" si="6"/>
        <v>0</v>
      </c>
    </row>
    <row r="876" spans="6:8">
      <c r="F876">
        <v>1.8879999999999999</v>
      </c>
      <c r="G876">
        <v>0.96</v>
      </c>
      <c r="H876">
        <f t="shared" si="6"/>
        <v>0</v>
      </c>
    </row>
    <row r="877" spans="6:8">
      <c r="F877">
        <v>1.89</v>
      </c>
      <c r="G877">
        <v>0.96</v>
      </c>
      <c r="H877">
        <f t="shared" si="6"/>
        <v>0</v>
      </c>
    </row>
    <row r="878" spans="6:8">
      <c r="F878">
        <v>1.8919999999999999</v>
      </c>
      <c r="G878">
        <v>0.96</v>
      </c>
      <c r="H878">
        <f t="shared" si="6"/>
        <v>0</v>
      </c>
    </row>
    <row r="879" spans="6:8">
      <c r="F879">
        <v>1.8939999999999999</v>
      </c>
      <c r="G879">
        <v>0.96</v>
      </c>
      <c r="H879">
        <f t="shared" si="6"/>
        <v>0</v>
      </c>
    </row>
    <row r="880" spans="6:8">
      <c r="F880">
        <v>1.8959999999999999</v>
      </c>
      <c r="G880">
        <v>0.96</v>
      </c>
      <c r="H880">
        <f t="shared" si="6"/>
        <v>0</v>
      </c>
    </row>
    <row r="881" spans="6:8">
      <c r="F881">
        <v>1.8979999999999999</v>
      </c>
      <c r="G881">
        <v>0.96</v>
      </c>
      <c r="H881">
        <f t="shared" si="6"/>
        <v>0</v>
      </c>
    </row>
    <row r="882" spans="6:8">
      <c r="F882">
        <v>1.9</v>
      </c>
      <c r="G882">
        <v>0.96</v>
      </c>
      <c r="H882">
        <f t="shared" si="6"/>
        <v>0</v>
      </c>
    </row>
    <row r="883" spans="6:8">
      <c r="F883">
        <v>1.9019999999999999</v>
      </c>
      <c r="G883">
        <v>0.96</v>
      </c>
      <c r="H883">
        <f t="shared" si="6"/>
        <v>0</v>
      </c>
    </row>
    <row r="884" spans="6:8">
      <c r="F884">
        <v>1.9039999999999999</v>
      </c>
      <c r="G884">
        <v>0.96</v>
      </c>
      <c r="H884">
        <f t="shared" si="6"/>
        <v>0</v>
      </c>
    </row>
    <row r="885" spans="6:8">
      <c r="F885">
        <v>1.9059999999999999</v>
      </c>
      <c r="G885">
        <v>0.96</v>
      </c>
      <c r="H885">
        <f t="shared" si="6"/>
        <v>0</v>
      </c>
    </row>
    <row r="886" spans="6:8">
      <c r="F886">
        <v>1.9079999999999999</v>
      </c>
      <c r="G886">
        <v>0.96</v>
      </c>
      <c r="H886">
        <f t="shared" si="6"/>
        <v>0</v>
      </c>
    </row>
    <row r="887" spans="6:8">
      <c r="F887">
        <v>1.91</v>
      </c>
      <c r="G887">
        <v>0.96</v>
      </c>
      <c r="H887">
        <f t="shared" si="6"/>
        <v>0</v>
      </c>
    </row>
    <row r="888" spans="6:8">
      <c r="F888">
        <v>1.9119999999999999</v>
      </c>
      <c r="G888">
        <v>0.96</v>
      </c>
      <c r="H888">
        <f t="shared" si="6"/>
        <v>0</v>
      </c>
    </row>
    <row r="889" spans="6:8">
      <c r="F889">
        <v>1.9139999999999999</v>
      </c>
      <c r="G889">
        <v>0.96</v>
      </c>
      <c r="H889">
        <f t="shared" si="6"/>
        <v>0</v>
      </c>
    </row>
    <row r="890" spans="6:8">
      <c r="F890">
        <v>1.9159999999999999</v>
      </c>
      <c r="G890">
        <v>0.96</v>
      </c>
      <c r="H890">
        <f t="shared" si="6"/>
        <v>0</v>
      </c>
    </row>
    <row r="891" spans="6:8">
      <c r="F891">
        <v>1.9179999999999999</v>
      </c>
      <c r="G891">
        <v>0.96</v>
      </c>
      <c r="H891">
        <f t="shared" si="6"/>
        <v>0</v>
      </c>
    </row>
    <row r="892" spans="6:8">
      <c r="F892">
        <v>1.92</v>
      </c>
      <c r="G892">
        <v>0.96</v>
      </c>
      <c r="H892">
        <f t="shared" si="6"/>
        <v>0</v>
      </c>
    </row>
    <row r="893" spans="6:8">
      <c r="F893">
        <v>1.9219999999999999</v>
      </c>
      <c r="G893">
        <v>0.96</v>
      </c>
      <c r="H893">
        <f t="shared" si="6"/>
        <v>0</v>
      </c>
    </row>
    <row r="894" spans="6:8">
      <c r="F894">
        <v>1.9239999999999999</v>
      </c>
      <c r="G894">
        <v>0.96</v>
      </c>
      <c r="H894">
        <f t="shared" si="6"/>
        <v>0</v>
      </c>
    </row>
    <row r="895" spans="6:8">
      <c r="F895">
        <v>1.9259999999999999</v>
      </c>
      <c r="G895">
        <v>0.96</v>
      </c>
      <c r="H895">
        <f t="shared" si="6"/>
        <v>0</v>
      </c>
    </row>
    <row r="896" spans="6:8">
      <c r="F896">
        <v>1.9279999999999999</v>
      </c>
      <c r="G896">
        <v>0.96</v>
      </c>
      <c r="H896">
        <f t="shared" ref="H896:H959" si="7">$J$2-G896</f>
        <v>0</v>
      </c>
    </row>
    <row r="897" spans="6:8">
      <c r="F897">
        <v>1.93</v>
      </c>
      <c r="G897">
        <v>0.96</v>
      </c>
      <c r="H897">
        <f t="shared" si="7"/>
        <v>0</v>
      </c>
    </row>
    <row r="898" spans="6:8">
      <c r="F898">
        <v>1.9319999999999999</v>
      </c>
      <c r="G898">
        <v>0.96</v>
      </c>
      <c r="H898">
        <f t="shared" si="7"/>
        <v>0</v>
      </c>
    </row>
    <row r="899" spans="6:8">
      <c r="F899">
        <v>1.9339999999999999</v>
      </c>
      <c r="G899">
        <v>0.96</v>
      </c>
      <c r="H899">
        <f t="shared" si="7"/>
        <v>0</v>
      </c>
    </row>
    <row r="900" spans="6:8">
      <c r="F900">
        <v>1.9359999999999999</v>
      </c>
      <c r="G900">
        <v>0.96</v>
      </c>
      <c r="H900">
        <f t="shared" si="7"/>
        <v>0</v>
      </c>
    </row>
    <row r="901" spans="6:8">
      <c r="F901">
        <v>1.9379999999999999</v>
      </c>
      <c r="G901">
        <v>0.96</v>
      </c>
      <c r="H901">
        <f t="shared" si="7"/>
        <v>0</v>
      </c>
    </row>
    <row r="902" spans="6:8">
      <c r="F902">
        <v>1.94</v>
      </c>
      <c r="G902">
        <v>0.96</v>
      </c>
      <c r="H902">
        <f t="shared" si="7"/>
        <v>0</v>
      </c>
    </row>
    <row r="903" spans="6:8">
      <c r="F903">
        <v>1.9419999999999999</v>
      </c>
      <c r="G903">
        <v>0.96</v>
      </c>
      <c r="H903">
        <f t="shared" si="7"/>
        <v>0</v>
      </c>
    </row>
    <row r="904" spans="6:8">
      <c r="F904">
        <v>1.944</v>
      </c>
      <c r="G904">
        <v>0.96</v>
      </c>
      <c r="H904">
        <f t="shared" si="7"/>
        <v>0</v>
      </c>
    </row>
    <row r="905" spans="6:8">
      <c r="F905">
        <v>1.946</v>
      </c>
      <c r="G905">
        <v>0.96</v>
      </c>
      <c r="H905">
        <f t="shared" si="7"/>
        <v>0</v>
      </c>
    </row>
    <row r="906" spans="6:8">
      <c r="F906">
        <v>1.948</v>
      </c>
      <c r="G906">
        <v>0.96</v>
      </c>
      <c r="H906">
        <f t="shared" si="7"/>
        <v>0</v>
      </c>
    </row>
    <row r="907" spans="6:8">
      <c r="F907">
        <v>1.95</v>
      </c>
      <c r="G907">
        <v>0.96</v>
      </c>
      <c r="H907">
        <f t="shared" si="7"/>
        <v>0</v>
      </c>
    </row>
    <row r="908" spans="6:8">
      <c r="F908">
        <v>1.952</v>
      </c>
      <c r="G908">
        <v>0.96</v>
      </c>
      <c r="H908">
        <f t="shared" si="7"/>
        <v>0</v>
      </c>
    </row>
    <row r="909" spans="6:8">
      <c r="F909">
        <v>1.954</v>
      </c>
      <c r="G909">
        <v>0.96</v>
      </c>
      <c r="H909">
        <f t="shared" si="7"/>
        <v>0</v>
      </c>
    </row>
    <row r="910" spans="6:8">
      <c r="F910">
        <v>1.956</v>
      </c>
      <c r="G910">
        <v>0.96</v>
      </c>
      <c r="H910">
        <f t="shared" si="7"/>
        <v>0</v>
      </c>
    </row>
    <row r="911" spans="6:8">
      <c r="F911">
        <v>1.958</v>
      </c>
      <c r="G911">
        <v>0.96</v>
      </c>
      <c r="H911">
        <f t="shared" si="7"/>
        <v>0</v>
      </c>
    </row>
    <row r="912" spans="6:8">
      <c r="F912">
        <v>1.96</v>
      </c>
      <c r="G912">
        <v>0.96</v>
      </c>
      <c r="H912">
        <f t="shared" si="7"/>
        <v>0</v>
      </c>
    </row>
    <row r="913" spans="6:8">
      <c r="F913">
        <v>1.962</v>
      </c>
      <c r="G913">
        <v>0.96</v>
      </c>
      <c r="H913">
        <f t="shared" si="7"/>
        <v>0</v>
      </c>
    </row>
    <row r="914" spans="6:8">
      <c r="F914">
        <v>1.964</v>
      </c>
      <c r="G914">
        <v>0.96</v>
      </c>
      <c r="H914">
        <f t="shared" si="7"/>
        <v>0</v>
      </c>
    </row>
    <row r="915" spans="6:8">
      <c r="F915">
        <v>1.966</v>
      </c>
      <c r="G915">
        <v>0.96</v>
      </c>
      <c r="H915">
        <f t="shared" si="7"/>
        <v>0</v>
      </c>
    </row>
    <row r="916" spans="6:8">
      <c r="F916">
        <v>1.968</v>
      </c>
      <c r="G916">
        <v>0.96</v>
      </c>
      <c r="H916">
        <f t="shared" si="7"/>
        <v>0</v>
      </c>
    </row>
    <row r="917" spans="6:8">
      <c r="F917">
        <v>1.97</v>
      </c>
      <c r="G917">
        <v>0.96</v>
      </c>
      <c r="H917">
        <f t="shared" si="7"/>
        <v>0</v>
      </c>
    </row>
    <row r="918" spans="6:8">
      <c r="F918">
        <v>1.972</v>
      </c>
      <c r="G918">
        <v>0.96</v>
      </c>
      <c r="H918">
        <f t="shared" si="7"/>
        <v>0</v>
      </c>
    </row>
    <row r="919" spans="6:8">
      <c r="F919">
        <v>1.974</v>
      </c>
      <c r="G919">
        <v>0.96</v>
      </c>
      <c r="H919">
        <f t="shared" si="7"/>
        <v>0</v>
      </c>
    </row>
    <row r="920" spans="6:8">
      <c r="F920">
        <v>1.976</v>
      </c>
      <c r="G920">
        <v>0.96</v>
      </c>
      <c r="H920">
        <f t="shared" si="7"/>
        <v>0</v>
      </c>
    </row>
    <row r="921" spans="6:8">
      <c r="F921">
        <v>1.978</v>
      </c>
      <c r="G921">
        <v>0.96</v>
      </c>
      <c r="H921">
        <f t="shared" si="7"/>
        <v>0</v>
      </c>
    </row>
    <row r="922" spans="6:8">
      <c r="F922">
        <v>1.98</v>
      </c>
      <c r="G922">
        <v>0.96</v>
      </c>
      <c r="H922">
        <f t="shared" si="7"/>
        <v>0</v>
      </c>
    </row>
    <row r="923" spans="6:8">
      <c r="F923">
        <v>1.982</v>
      </c>
      <c r="G923">
        <v>0.96</v>
      </c>
      <c r="H923">
        <f t="shared" si="7"/>
        <v>0</v>
      </c>
    </row>
    <row r="924" spans="6:8">
      <c r="F924">
        <v>1.984</v>
      </c>
      <c r="G924">
        <v>0.96</v>
      </c>
      <c r="H924">
        <f t="shared" si="7"/>
        <v>0</v>
      </c>
    </row>
    <row r="925" spans="6:8">
      <c r="F925">
        <v>1.986</v>
      </c>
      <c r="G925">
        <v>0.96</v>
      </c>
      <c r="H925">
        <f t="shared" si="7"/>
        <v>0</v>
      </c>
    </row>
    <row r="926" spans="6:8">
      <c r="F926">
        <v>1.988</v>
      </c>
      <c r="G926">
        <v>0.96</v>
      </c>
      <c r="H926">
        <f t="shared" si="7"/>
        <v>0</v>
      </c>
    </row>
    <row r="927" spans="6:8">
      <c r="F927">
        <v>1.99</v>
      </c>
      <c r="G927">
        <v>0.96</v>
      </c>
      <c r="H927">
        <f t="shared" si="7"/>
        <v>0</v>
      </c>
    </row>
    <row r="928" spans="6:8">
      <c r="F928">
        <v>1.992</v>
      </c>
      <c r="G928">
        <v>0.96</v>
      </c>
      <c r="H928">
        <f t="shared" si="7"/>
        <v>0</v>
      </c>
    </row>
    <row r="929" spans="6:8">
      <c r="F929">
        <v>1.994</v>
      </c>
      <c r="G929">
        <v>0.96</v>
      </c>
      <c r="H929">
        <f t="shared" si="7"/>
        <v>0</v>
      </c>
    </row>
    <row r="930" spans="6:8">
      <c r="F930">
        <v>1.996</v>
      </c>
      <c r="G930">
        <v>0.96</v>
      </c>
      <c r="H930">
        <f t="shared" si="7"/>
        <v>0</v>
      </c>
    </row>
    <row r="931" spans="6:8">
      <c r="F931">
        <v>1.998</v>
      </c>
      <c r="G931">
        <v>0.96</v>
      </c>
      <c r="H931">
        <f t="shared" si="7"/>
        <v>0</v>
      </c>
    </row>
    <row r="932" spans="6:8">
      <c r="F932">
        <v>2</v>
      </c>
      <c r="G932">
        <v>0.96</v>
      </c>
      <c r="H932">
        <f t="shared" si="7"/>
        <v>0</v>
      </c>
    </row>
    <row r="933" spans="6:8">
      <c r="F933">
        <v>2.0019999999999998</v>
      </c>
      <c r="G933">
        <v>0.96</v>
      </c>
      <c r="H933">
        <f t="shared" si="7"/>
        <v>0</v>
      </c>
    </row>
    <row r="934" spans="6:8">
      <c r="F934">
        <v>2.004</v>
      </c>
      <c r="G934">
        <v>0.96</v>
      </c>
      <c r="H934">
        <f t="shared" si="7"/>
        <v>0</v>
      </c>
    </row>
    <row r="935" spans="6:8">
      <c r="F935">
        <v>2.0059999999999998</v>
      </c>
      <c r="G935">
        <v>0.96</v>
      </c>
      <c r="H935">
        <f t="shared" si="7"/>
        <v>0</v>
      </c>
    </row>
    <row r="936" spans="6:8">
      <c r="F936">
        <v>2.008</v>
      </c>
      <c r="G936">
        <v>0.96</v>
      </c>
      <c r="H936">
        <f t="shared" si="7"/>
        <v>0</v>
      </c>
    </row>
    <row r="937" spans="6:8">
      <c r="F937">
        <v>2.0099999999999998</v>
      </c>
      <c r="G937">
        <v>0.96</v>
      </c>
      <c r="H937">
        <f t="shared" si="7"/>
        <v>0</v>
      </c>
    </row>
    <row r="938" spans="6:8">
      <c r="F938">
        <v>2.012</v>
      </c>
      <c r="G938">
        <v>0.96</v>
      </c>
      <c r="H938">
        <f t="shared" si="7"/>
        <v>0</v>
      </c>
    </row>
    <row r="939" spans="6:8">
      <c r="F939">
        <v>2.0139999999999998</v>
      </c>
      <c r="G939">
        <v>0.96</v>
      </c>
      <c r="H939">
        <f t="shared" si="7"/>
        <v>0</v>
      </c>
    </row>
    <row r="940" spans="6:8">
      <c r="F940">
        <v>2.016</v>
      </c>
      <c r="G940">
        <v>0.96</v>
      </c>
      <c r="H940">
        <f t="shared" si="7"/>
        <v>0</v>
      </c>
    </row>
    <row r="941" spans="6:8">
      <c r="F941">
        <v>2.0179999999999998</v>
      </c>
      <c r="G941">
        <v>0.96</v>
      </c>
      <c r="H941">
        <f t="shared" si="7"/>
        <v>0</v>
      </c>
    </row>
    <row r="942" spans="6:8">
      <c r="F942">
        <v>2.02</v>
      </c>
      <c r="G942">
        <v>0.96</v>
      </c>
      <c r="H942">
        <f t="shared" si="7"/>
        <v>0</v>
      </c>
    </row>
    <row r="943" spans="6:8">
      <c r="F943">
        <v>2.0219999999999998</v>
      </c>
      <c r="G943">
        <v>0.96</v>
      </c>
      <c r="H943">
        <f t="shared" si="7"/>
        <v>0</v>
      </c>
    </row>
    <row r="944" spans="6:8">
      <c r="F944">
        <v>2.024</v>
      </c>
      <c r="G944">
        <v>0.96</v>
      </c>
      <c r="H944">
        <f t="shared" si="7"/>
        <v>0</v>
      </c>
    </row>
    <row r="945" spans="6:8">
      <c r="F945">
        <v>2.0259999999999998</v>
      </c>
      <c r="G945">
        <v>0.96</v>
      </c>
      <c r="H945">
        <f t="shared" si="7"/>
        <v>0</v>
      </c>
    </row>
    <row r="946" spans="6:8">
      <c r="F946">
        <v>2.028</v>
      </c>
      <c r="G946">
        <v>0.96</v>
      </c>
      <c r="H946">
        <f t="shared" si="7"/>
        <v>0</v>
      </c>
    </row>
    <row r="947" spans="6:8">
      <c r="F947">
        <v>2.0299999999999998</v>
      </c>
      <c r="G947">
        <v>0.96</v>
      </c>
      <c r="H947">
        <f t="shared" si="7"/>
        <v>0</v>
      </c>
    </row>
    <row r="948" spans="6:8">
      <c r="F948">
        <v>2.032</v>
      </c>
      <c r="G948">
        <v>0.96</v>
      </c>
      <c r="H948">
        <f t="shared" si="7"/>
        <v>0</v>
      </c>
    </row>
    <row r="949" spans="6:8">
      <c r="F949">
        <v>2.0339999999999998</v>
      </c>
      <c r="G949">
        <v>0.96</v>
      </c>
      <c r="H949">
        <f t="shared" si="7"/>
        <v>0</v>
      </c>
    </row>
    <row r="950" spans="6:8">
      <c r="F950">
        <v>2.036</v>
      </c>
      <c r="G950">
        <v>0.96</v>
      </c>
      <c r="H950">
        <f t="shared" si="7"/>
        <v>0</v>
      </c>
    </row>
    <row r="951" spans="6:8">
      <c r="F951">
        <v>2.0379999999999998</v>
      </c>
      <c r="G951">
        <v>0.96</v>
      </c>
      <c r="H951">
        <f t="shared" si="7"/>
        <v>0</v>
      </c>
    </row>
    <row r="952" spans="6:8">
      <c r="F952">
        <v>2.04</v>
      </c>
      <c r="G952">
        <v>0.96</v>
      </c>
      <c r="H952">
        <f t="shared" si="7"/>
        <v>0</v>
      </c>
    </row>
    <row r="953" spans="6:8">
      <c r="F953">
        <v>2.0419999999999998</v>
      </c>
      <c r="G953">
        <v>0.96</v>
      </c>
      <c r="H953">
        <f t="shared" si="7"/>
        <v>0</v>
      </c>
    </row>
    <row r="954" spans="6:8">
      <c r="F954">
        <v>2.044</v>
      </c>
      <c r="G954">
        <v>0.96</v>
      </c>
      <c r="H954">
        <f t="shared" si="7"/>
        <v>0</v>
      </c>
    </row>
    <row r="955" spans="6:8">
      <c r="F955">
        <v>2.0459999999999998</v>
      </c>
      <c r="G955">
        <v>0.96</v>
      </c>
      <c r="H955">
        <f t="shared" si="7"/>
        <v>0</v>
      </c>
    </row>
    <row r="956" spans="6:8">
      <c r="F956">
        <v>2.048</v>
      </c>
      <c r="G956">
        <v>0.96</v>
      </c>
      <c r="H956">
        <f t="shared" si="7"/>
        <v>0</v>
      </c>
    </row>
    <row r="957" spans="6:8">
      <c r="F957">
        <v>2.0499999999999998</v>
      </c>
      <c r="G957">
        <v>0.96</v>
      </c>
      <c r="H957">
        <f t="shared" si="7"/>
        <v>0</v>
      </c>
    </row>
    <row r="958" spans="6:8">
      <c r="F958">
        <v>2.052</v>
      </c>
      <c r="G958">
        <v>0.96</v>
      </c>
      <c r="H958">
        <f t="shared" si="7"/>
        <v>0</v>
      </c>
    </row>
    <row r="959" spans="6:8">
      <c r="F959">
        <v>2.0539999999999998</v>
      </c>
      <c r="G959">
        <v>0.96</v>
      </c>
      <c r="H959">
        <f t="shared" si="7"/>
        <v>0</v>
      </c>
    </row>
    <row r="960" spans="6:8">
      <c r="F960">
        <v>2.056</v>
      </c>
      <c r="G960">
        <v>0.96</v>
      </c>
      <c r="H960">
        <f t="shared" ref="H960:H1023" si="8">$J$2-G960</f>
        <v>0</v>
      </c>
    </row>
    <row r="961" spans="6:8">
      <c r="F961">
        <v>2.0579999999999998</v>
      </c>
      <c r="G961">
        <v>0.96</v>
      </c>
      <c r="H961">
        <f t="shared" si="8"/>
        <v>0</v>
      </c>
    </row>
    <row r="962" spans="6:8">
      <c r="F962">
        <v>2.06</v>
      </c>
      <c r="G962">
        <v>0.96</v>
      </c>
      <c r="H962">
        <f t="shared" si="8"/>
        <v>0</v>
      </c>
    </row>
    <row r="963" spans="6:8">
      <c r="F963">
        <v>2.0619999999999998</v>
      </c>
      <c r="G963">
        <v>0.96</v>
      </c>
      <c r="H963">
        <f t="shared" si="8"/>
        <v>0</v>
      </c>
    </row>
    <row r="964" spans="6:8">
      <c r="F964">
        <v>2.0640000000000001</v>
      </c>
      <c r="G964">
        <v>0.96</v>
      </c>
      <c r="H964">
        <f t="shared" si="8"/>
        <v>0</v>
      </c>
    </row>
    <row r="965" spans="6:8">
      <c r="F965">
        <v>2.0659999999999998</v>
      </c>
      <c r="G965">
        <v>0.96</v>
      </c>
      <c r="H965">
        <f t="shared" si="8"/>
        <v>0</v>
      </c>
    </row>
    <row r="966" spans="6:8">
      <c r="F966">
        <v>2.0680000000000001</v>
      </c>
      <c r="G966">
        <v>0.96</v>
      </c>
      <c r="H966">
        <f t="shared" si="8"/>
        <v>0</v>
      </c>
    </row>
    <row r="967" spans="6:8">
      <c r="F967">
        <v>2.0699999999999998</v>
      </c>
      <c r="G967">
        <v>0.96</v>
      </c>
      <c r="H967">
        <f t="shared" si="8"/>
        <v>0</v>
      </c>
    </row>
    <row r="968" spans="6:8">
      <c r="F968">
        <v>2.0720000000000001</v>
      </c>
      <c r="G968">
        <v>0.96</v>
      </c>
      <c r="H968">
        <f t="shared" si="8"/>
        <v>0</v>
      </c>
    </row>
    <row r="969" spans="6:8">
      <c r="F969">
        <v>2.0739999999999998</v>
      </c>
      <c r="G969">
        <v>0.96</v>
      </c>
      <c r="H969">
        <f t="shared" si="8"/>
        <v>0</v>
      </c>
    </row>
    <row r="970" spans="6:8">
      <c r="F970">
        <v>2.0760000000000001</v>
      </c>
      <c r="G970">
        <v>0.96</v>
      </c>
      <c r="H970">
        <f t="shared" si="8"/>
        <v>0</v>
      </c>
    </row>
    <row r="971" spans="6:8">
      <c r="F971">
        <v>2.0779999999999998</v>
      </c>
      <c r="G971">
        <v>0.96</v>
      </c>
      <c r="H971">
        <f t="shared" si="8"/>
        <v>0</v>
      </c>
    </row>
    <row r="972" spans="6:8">
      <c r="F972">
        <v>2.08</v>
      </c>
      <c r="G972">
        <v>0.96</v>
      </c>
      <c r="H972">
        <f t="shared" si="8"/>
        <v>0</v>
      </c>
    </row>
    <row r="973" spans="6:8">
      <c r="F973">
        <v>2.0819999999999999</v>
      </c>
      <c r="G973">
        <v>0.96</v>
      </c>
      <c r="H973">
        <f t="shared" si="8"/>
        <v>0</v>
      </c>
    </row>
    <row r="974" spans="6:8">
      <c r="F974">
        <v>2.0840000000000001</v>
      </c>
      <c r="G974">
        <v>0.96</v>
      </c>
      <c r="H974">
        <f t="shared" si="8"/>
        <v>0</v>
      </c>
    </row>
    <row r="975" spans="6:8">
      <c r="F975">
        <v>2.0859999999999999</v>
      </c>
      <c r="G975">
        <v>0.96</v>
      </c>
      <c r="H975">
        <f t="shared" si="8"/>
        <v>0</v>
      </c>
    </row>
    <row r="976" spans="6:8">
      <c r="F976">
        <v>2.0880000000000001</v>
      </c>
      <c r="G976">
        <v>0.96</v>
      </c>
      <c r="H976">
        <f t="shared" si="8"/>
        <v>0</v>
      </c>
    </row>
    <row r="977" spans="6:8">
      <c r="F977">
        <v>2.09</v>
      </c>
      <c r="G977">
        <v>0.96</v>
      </c>
      <c r="H977">
        <f t="shared" si="8"/>
        <v>0</v>
      </c>
    </row>
    <row r="978" spans="6:8">
      <c r="F978">
        <v>2.0920000000000001</v>
      </c>
      <c r="G978">
        <v>0.96</v>
      </c>
      <c r="H978">
        <f t="shared" si="8"/>
        <v>0</v>
      </c>
    </row>
    <row r="979" spans="6:8">
      <c r="F979">
        <v>2.0939999999999999</v>
      </c>
      <c r="G979">
        <v>0.96</v>
      </c>
      <c r="H979">
        <f t="shared" si="8"/>
        <v>0</v>
      </c>
    </row>
    <row r="980" spans="6:8">
      <c r="F980">
        <v>2.0960000000000001</v>
      </c>
      <c r="G980">
        <v>0.96</v>
      </c>
      <c r="H980">
        <f t="shared" si="8"/>
        <v>0</v>
      </c>
    </row>
    <row r="981" spans="6:8">
      <c r="F981">
        <v>2.0979999999999999</v>
      </c>
      <c r="G981">
        <v>0.96</v>
      </c>
      <c r="H981">
        <f t="shared" si="8"/>
        <v>0</v>
      </c>
    </row>
    <row r="982" spans="6:8">
      <c r="F982">
        <v>2.1</v>
      </c>
      <c r="G982">
        <v>0.96</v>
      </c>
      <c r="H982">
        <f t="shared" si="8"/>
        <v>0</v>
      </c>
    </row>
    <row r="983" spans="6:8">
      <c r="F983">
        <v>2.1019999999999999</v>
      </c>
      <c r="G983">
        <v>0.96</v>
      </c>
      <c r="H983">
        <f t="shared" si="8"/>
        <v>0</v>
      </c>
    </row>
    <row r="984" spans="6:8">
      <c r="F984">
        <v>2.1040000000000001</v>
      </c>
      <c r="G984">
        <v>0.96</v>
      </c>
      <c r="H984">
        <f t="shared" si="8"/>
        <v>0</v>
      </c>
    </row>
    <row r="985" spans="6:8">
      <c r="F985">
        <v>2.1059999999999999</v>
      </c>
      <c r="G985">
        <v>0.96</v>
      </c>
      <c r="H985">
        <f t="shared" si="8"/>
        <v>0</v>
      </c>
    </row>
    <row r="986" spans="6:8">
      <c r="F986">
        <v>2.1080000000000001</v>
      </c>
      <c r="G986">
        <v>0.96</v>
      </c>
      <c r="H986">
        <f t="shared" si="8"/>
        <v>0</v>
      </c>
    </row>
    <row r="987" spans="6:8">
      <c r="F987">
        <v>2.11</v>
      </c>
      <c r="G987">
        <v>0.96</v>
      </c>
      <c r="H987">
        <f t="shared" si="8"/>
        <v>0</v>
      </c>
    </row>
    <row r="988" spans="6:8">
      <c r="F988">
        <v>2.1120000000000001</v>
      </c>
      <c r="G988">
        <v>0.96</v>
      </c>
      <c r="H988">
        <f t="shared" si="8"/>
        <v>0</v>
      </c>
    </row>
    <row r="989" spans="6:8">
      <c r="F989">
        <v>2.1139999999999999</v>
      </c>
      <c r="G989">
        <v>0.96</v>
      </c>
      <c r="H989">
        <f t="shared" si="8"/>
        <v>0</v>
      </c>
    </row>
    <row r="990" spans="6:8">
      <c r="F990">
        <v>2.1160000000000001</v>
      </c>
      <c r="G990">
        <v>0.96</v>
      </c>
      <c r="H990">
        <f t="shared" si="8"/>
        <v>0</v>
      </c>
    </row>
    <row r="991" spans="6:8">
      <c r="F991">
        <v>2.1179999999999999</v>
      </c>
      <c r="G991">
        <v>0.96</v>
      </c>
      <c r="H991">
        <f t="shared" si="8"/>
        <v>0</v>
      </c>
    </row>
    <row r="992" spans="6:8">
      <c r="F992">
        <v>2.12</v>
      </c>
      <c r="G992">
        <v>0.96</v>
      </c>
      <c r="H992">
        <f t="shared" si="8"/>
        <v>0</v>
      </c>
    </row>
    <row r="993" spans="6:8">
      <c r="F993">
        <v>2.1219999999999999</v>
      </c>
      <c r="G993">
        <v>0.96</v>
      </c>
      <c r="H993">
        <f t="shared" si="8"/>
        <v>0</v>
      </c>
    </row>
    <row r="994" spans="6:8">
      <c r="F994">
        <v>2.1240000000000001</v>
      </c>
      <c r="G994">
        <v>0.96</v>
      </c>
      <c r="H994">
        <f t="shared" si="8"/>
        <v>0</v>
      </c>
    </row>
    <row r="995" spans="6:8">
      <c r="F995">
        <v>2.1259999999999999</v>
      </c>
      <c r="G995">
        <v>0.96</v>
      </c>
      <c r="H995">
        <f t="shared" si="8"/>
        <v>0</v>
      </c>
    </row>
    <row r="996" spans="6:8">
      <c r="F996">
        <v>2.1280000000000001</v>
      </c>
      <c r="G996">
        <v>0.96</v>
      </c>
      <c r="H996">
        <f t="shared" si="8"/>
        <v>0</v>
      </c>
    </row>
    <row r="997" spans="6:8">
      <c r="F997">
        <v>2.13</v>
      </c>
      <c r="G997">
        <v>0.96</v>
      </c>
      <c r="H997">
        <f t="shared" si="8"/>
        <v>0</v>
      </c>
    </row>
    <row r="998" spans="6:8">
      <c r="F998">
        <v>2.1320000000000001</v>
      </c>
      <c r="G998">
        <v>0.96</v>
      </c>
      <c r="H998">
        <f t="shared" si="8"/>
        <v>0</v>
      </c>
    </row>
    <row r="999" spans="6:8">
      <c r="F999">
        <v>2.1339999999999999</v>
      </c>
      <c r="G999">
        <v>0.96</v>
      </c>
      <c r="H999">
        <f t="shared" si="8"/>
        <v>0</v>
      </c>
    </row>
    <row r="1000" spans="6:8">
      <c r="F1000">
        <v>2.1360000000000001</v>
      </c>
      <c r="G1000">
        <v>0.96</v>
      </c>
      <c r="H1000">
        <f t="shared" si="8"/>
        <v>0</v>
      </c>
    </row>
    <row r="1001" spans="6:8">
      <c r="F1001">
        <v>2.1379999999999999</v>
      </c>
      <c r="G1001">
        <v>0.96</v>
      </c>
      <c r="H1001">
        <f t="shared" si="8"/>
        <v>0</v>
      </c>
    </row>
    <row r="1002" spans="6:8">
      <c r="F1002">
        <v>2.14</v>
      </c>
      <c r="G1002">
        <v>0.96</v>
      </c>
      <c r="H1002">
        <f t="shared" si="8"/>
        <v>0</v>
      </c>
    </row>
    <row r="1003" spans="6:8">
      <c r="F1003">
        <v>2.1419999999999999</v>
      </c>
      <c r="G1003">
        <v>0.96</v>
      </c>
      <c r="H1003">
        <f t="shared" si="8"/>
        <v>0</v>
      </c>
    </row>
    <row r="1004" spans="6:8">
      <c r="F1004">
        <v>2.1440000000000001</v>
      </c>
      <c r="G1004">
        <v>0.96</v>
      </c>
      <c r="H1004">
        <f t="shared" si="8"/>
        <v>0</v>
      </c>
    </row>
    <row r="1005" spans="6:8">
      <c r="F1005">
        <v>2.1459999999999999</v>
      </c>
      <c r="G1005">
        <v>0.96</v>
      </c>
      <c r="H1005">
        <f t="shared" si="8"/>
        <v>0</v>
      </c>
    </row>
    <row r="1006" spans="6:8">
      <c r="F1006">
        <v>2.1480000000000001</v>
      </c>
      <c r="G1006">
        <v>0.96</v>
      </c>
      <c r="H1006">
        <f t="shared" si="8"/>
        <v>0</v>
      </c>
    </row>
    <row r="1007" spans="6:8">
      <c r="F1007">
        <v>2.15</v>
      </c>
      <c r="G1007">
        <v>0.96</v>
      </c>
      <c r="H1007">
        <f t="shared" si="8"/>
        <v>0</v>
      </c>
    </row>
    <row r="1008" spans="6:8">
      <c r="F1008">
        <v>2.1520000000000001</v>
      </c>
      <c r="G1008">
        <v>0.96</v>
      </c>
      <c r="H1008">
        <f t="shared" si="8"/>
        <v>0</v>
      </c>
    </row>
    <row r="1009" spans="6:8">
      <c r="F1009">
        <v>2.1539999999999999</v>
      </c>
      <c r="G1009">
        <v>0.96</v>
      </c>
      <c r="H1009">
        <f t="shared" si="8"/>
        <v>0</v>
      </c>
    </row>
    <row r="1010" spans="6:8">
      <c r="F1010">
        <v>2.1560000000000001</v>
      </c>
      <c r="G1010">
        <v>0.96</v>
      </c>
      <c r="H1010">
        <f t="shared" si="8"/>
        <v>0</v>
      </c>
    </row>
    <row r="1011" spans="6:8">
      <c r="F1011">
        <v>2.1579999999999999</v>
      </c>
      <c r="G1011">
        <v>0.96</v>
      </c>
      <c r="H1011">
        <f t="shared" si="8"/>
        <v>0</v>
      </c>
    </row>
    <row r="1012" spans="6:8">
      <c r="F1012">
        <v>2.16</v>
      </c>
      <c r="G1012">
        <v>0.96</v>
      </c>
      <c r="H1012">
        <f t="shared" si="8"/>
        <v>0</v>
      </c>
    </row>
    <row r="1013" spans="6:8">
      <c r="F1013">
        <v>2.1619999999999999</v>
      </c>
      <c r="G1013">
        <v>0.96</v>
      </c>
      <c r="H1013">
        <f t="shared" si="8"/>
        <v>0</v>
      </c>
    </row>
    <row r="1014" spans="6:8">
      <c r="F1014">
        <v>2.1640000000000001</v>
      </c>
      <c r="G1014">
        <v>0.96</v>
      </c>
      <c r="H1014">
        <f t="shared" si="8"/>
        <v>0</v>
      </c>
    </row>
    <row r="1015" spans="6:8">
      <c r="F1015">
        <v>2.1659999999999999</v>
      </c>
      <c r="G1015">
        <v>0.96</v>
      </c>
      <c r="H1015">
        <f t="shared" si="8"/>
        <v>0</v>
      </c>
    </row>
    <row r="1016" spans="6:8">
      <c r="F1016">
        <v>2.1680000000000001</v>
      </c>
      <c r="G1016">
        <v>0.96</v>
      </c>
      <c r="H1016">
        <f t="shared" si="8"/>
        <v>0</v>
      </c>
    </row>
    <row r="1017" spans="6:8">
      <c r="F1017">
        <v>2.17</v>
      </c>
      <c r="G1017">
        <v>0.96</v>
      </c>
      <c r="H1017">
        <f t="shared" si="8"/>
        <v>0</v>
      </c>
    </row>
    <row r="1018" spans="6:8">
      <c r="F1018">
        <v>2.1720000000000002</v>
      </c>
      <c r="G1018">
        <v>0.96</v>
      </c>
      <c r="H1018">
        <f t="shared" si="8"/>
        <v>0</v>
      </c>
    </row>
    <row r="1019" spans="6:8">
      <c r="F1019">
        <v>2.1739999999999999</v>
      </c>
      <c r="G1019">
        <v>0.96</v>
      </c>
      <c r="H1019">
        <f t="shared" si="8"/>
        <v>0</v>
      </c>
    </row>
    <row r="1020" spans="6:8">
      <c r="F1020">
        <v>2.1760000000000002</v>
      </c>
      <c r="G1020">
        <v>0.96</v>
      </c>
      <c r="H1020">
        <f t="shared" si="8"/>
        <v>0</v>
      </c>
    </row>
    <row r="1021" spans="6:8">
      <c r="F1021">
        <v>2.1779999999999999</v>
      </c>
      <c r="G1021">
        <v>0.96</v>
      </c>
      <c r="H1021">
        <f t="shared" si="8"/>
        <v>0</v>
      </c>
    </row>
    <row r="1022" spans="6:8">
      <c r="F1022">
        <v>2.1800000000000002</v>
      </c>
      <c r="G1022">
        <v>0.96</v>
      </c>
      <c r="H1022">
        <f t="shared" si="8"/>
        <v>0</v>
      </c>
    </row>
    <row r="1023" spans="6:8">
      <c r="F1023">
        <v>2.1819999999999999</v>
      </c>
      <c r="G1023">
        <v>0.96</v>
      </c>
      <c r="H1023">
        <f t="shared" si="8"/>
        <v>0</v>
      </c>
    </row>
    <row r="1024" spans="6:8">
      <c r="F1024">
        <v>2.1840000000000002</v>
      </c>
      <c r="G1024">
        <v>0.96</v>
      </c>
      <c r="H1024">
        <f t="shared" ref="H1024:H1087" si="9">$J$2-G1024</f>
        <v>0</v>
      </c>
    </row>
    <row r="1025" spans="6:8">
      <c r="F1025">
        <v>2.1859999999999999</v>
      </c>
      <c r="G1025">
        <v>0.96</v>
      </c>
      <c r="H1025">
        <f t="shared" si="9"/>
        <v>0</v>
      </c>
    </row>
    <row r="1026" spans="6:8">
      <c r="F1026">
        <v>2.1880000000000002</v>
      </c>
      <c r="G1026">
        <v>0.96</v>
      </c>
      <c r="H1026">
        <f t="shared" si="9"/>
        <v>0</v>
      </c>
    </row>
    <row r="1027" spans="6:8">
      <c r="F1027">
        <v>2.19</v>
      </c>
      <c r="G1027">
        <v>0.96</v>
      </c>
      <c r="H1027">
        <f t="shared" si="9"/>
        <v>0</v>
      </c>
    </row>
    <row r="1028" spans="6:8">
      <c r="F1028">
        <v>2.1920000000000002</v>
      </c>
      <c r="G1028">
        <v>0.96</v>
      </c>
      <c r="H1028">
        <f t="shared" si="9"/>
        <v>0</v>
      </c>
    </row>
    <row r="1029" spans="6:8">
      <c r="F1029">
        <v>2.194</v>
      </c>
      <c r="G1029">
        <v>0.96</v>
      </c>
      <c r="H1029">
        <f t="shared" si="9"/>
        <v>0</v>
      </c>
    </row>
    <row r="1030" spans="6:8">
      <c r="F1030">
        <v>2.1960000000000002</v>
      </c>
      <c r="G1030">
        <v>0.96</v>
      </c>
      <c r="H1030">
        <f t="shared" si="9"/>
        <v>0</v>
      </c>
    </row>
    <row r="1031" spans="6:8">
      <c r="F1031">
        <v>2.198</v>
      </c>
      <c r="G1031">
        <v>0.96</v>
      </c>
      <c r="H1031">
        <f t="shared" si="9"/>
        <v>0</v>
      </c>
    </row>
    <row r="1032" spans="6:8">
      <c r="F1032">
        <v>2.2000000000000002</v>
      </c>
      <c r="G1032">
        <v>0.96</v>
      </c>
      <c r="H1032">
        <f t="shared" si="9"/>
        <v>0</v>
      </c>
    </row>
    <row r="1033" spans="6:8">
      <c r="F1033">
        <v>2.202</v>
      </c>
      <c r="G1033">
        <v>0.96</v>
      </c>
      <c r="H1033">
        <f t="shared" si="9"/>
        <v>0</v>
      </c>
    </row>
    <row r="1034" spans="6:8">
      <c r="F1034">
        <v>2.2040000000000002</v>
      </c>
      <c r="G1034">
        <v>0.96</v>
      </c>
      <c r="H1034">
        <f t="shared" si="9"/>
        <v>0</v>
      </c>
    </row>
    <row r="1035" spans="6:8">
      <c r="F1035">
        <v>2.206</v>
      </c>
      <c r="G1035">
        <v>0.96</v>
      </c>
      <c r="H1035">
        <f t="shared" si="9"/>
        <v>0</v>
      </c>
    </row>
    <row r="1036" spans="6:8">
      <c r="F1036">
        <v>2.2080000000000002</v>
      </c>
      <c r="G1036">
        <v>0.96</v>
      </c>
      <c r="H1036">
        <f t="shared" si="9"/>
        <v>0</v>
      </c>
    </row>
    <row r="1037" spans="6:8">
      <c r="F1037">
        <v>2.21</v>
      </c>
      <c r="G1037">
        <v>0.96</v>
      </c>
      <c r="H1037">
        <f t="shared" si="9"/>
        <v>0</v>
      </c>
    </row>
    <row r="1038" spans="6:8">
      <c r="F1038">
        <v>2.2120000000000002</v>
      </c>
      <c r="G1038">
        <v>0.96</v>
      </c>
      <c r="H1038">
        <f t="shared" si="9"/>
        <v>0</v>
      </c>
    </row>
    <row r="1039" spans="6:8">
      <c r="F1039">
        <v>2.214</v>
      </c>
      <c r="G1039">
        <v>0.96</v>
      </c>
      <c r="H1039">
        <f t="shared" si="9"/>
        <v>0</v>
      </c>
    </row>
    <row r="1040" spans="6:8">
      <c r="F1040">
        <v>2.2160000000000002</v>
      </c>
      <c r="G1040">
        <v>0.96</v>
      </c>
      <c r="H1040">
        <f t="shared" si="9"/>
        <v>0</v>
      </c>
    </row>
    <row r="1041" spans="6:8">
      <c r="F1041">
        <v>2.218</v>
      </c>
      <c r="G1041">
        <v>0.96</v>
      </c>
      <c r="H1041">
        <f t="shared" si="9"/>
        <v>0</v>
      </c>
    </row>
    <row r="1042" spans="6:8">
      <c r="F1042">
        <v>2.2200000000000002</v>
      </c>
      <c r="G1042">
        <v>0.96</v>
      </c>
      <c r="H1042">
        <f t="shared" si="9"/>
        <v>0</v>
      </c>
    </row>
    <row r="1043" spans="6:8">
      <c r="F1043">
        <v>2.222</v>
      </c>
      <c r="G1043">
        <v>0.96</v>
      </c>
      <c r="H1043">
        <f t="shared" si="9"/>
        <v>0</v>
      </c>
    </row>
    <row r="1044" spans="6:8">
      <c r="F1044">
        <v>2.2240000000000002</v>
      </c>
      <c r="G1044">
        <v>0.96</v>
      </c>
      <c r="H1044">
        <f t="shared" si="9"/>
        <v>0</v>
      </c>
    </row>
    <row r="1045" spans="6:8">
      <c r="F1045">
        <v>2.226</v>
      </c>
      <c r="G1045">
        <v>0.96</v>
      </c>
      <c r="H1045">
        <f t="shared" si="9"/>
        <v>0</v>
      </c>
    </row>
    <row r="1046" spans="6:8">
      <c r="F1046">
        <v>2.2280000000000002</v>
      </c>
      <c r="G1046">
        <v>0.96</v>
      </c>
      <c r="H1046">
        <f t="shared" si="9"/>
        <v>0</v>
      </c>
    </row>
    <row r="1047" spans="6:8">
      <c r="F1047">
        <v>2.23</v>
      </c>
      <c r="G1047">
        <v>0.96</v>
      </c>
      <c r="H1047">
        <f t="shared" si="9"/>
        <v>0</v>
      </c>
    </row>
    <row r="1048" spans="6:8">
      <c r="F1048">
        <v>2.2320000000000002</v>
      </c>
      <c r="G1048">
        <v>0.96</v>
      </c>
      <c r="H1048">
        <f t="shared" si="9"/>
        <v>0</v>
      </c>
    </row>
    <row r="1049" spans="6:8">
      <c r="F1049">
        <v>2.234</v>
      </c>
      <c r="G1049">
        <v>0.96</v>
      </c>
      <c r="H1049">
        <f t="shared" si="9"/>
        <v>0</v>
      </c>
    </row>
    <row r="1050" spans="6:8">
      <c r="F1050">
        <v>2.2360000000000002</v>
      </c>
      <c r="G1050">
        <v>0.96</v>
      </c>
      <c r="H1050">
        <f t="shared" si="9"/>
        <v>0</v>
      </c>
    </row>
    <row r="1051" spans="6:8">
      <c r="F1051">
        <v>2.238</v>
      </c>
      <c r="G1051">
        <v>0.96</v>
      </c>
      <c r="H1051">
        <f t="shared" si="9"/>
        <v>0</v>
      </c>
    </row>
    <row r="1052" spans="6:8">
      <c r="F1052">
        <v>2.2400000000000002</v>
      </c>
      <c r="G1052">
        <v>0.96</v>
      </c>
      <c r="H1052">
        <f t="shared" si="9"/>
        <v>0</v>
      </c>
    </row>
    <row r="1053" spans="6:8">
      <c r="F1053">
        <v>2.242</v>
      </c>
      <c r="G1053">
        <v>0.96</v>
      </c>
      <c r="H1053">
        <f t="shared" si="9"/>
        <v>0</v>
      </c>
    </row>
    <row r="1054" spans="6:8">
      <c r="F1054">
        <v>2.2440000000000002</v>
      </c>
      <c r="G1054">
        <v>0.96</v>
      </c>
      <c r="H1054">
        <f t="shared" si="9"/>
        <v>0</v>
      </c>
    </row>
    <row r="1055" spans="6:8">
      <c r="F1055">
        <v>2.246</v>
      </c>
      <c r="G1055">
        <v>0.96</v>
      </c>
      <c r="H1055">
        <f t="shared" si="9"/>
        <v>0</v>
      </c>
    </row>
    <row r="1056" spans="6:8">
      <c r="F1056">
        <v>2.2480000000000002</v>
      </c>
      <c r="G1056">
        <v>0.96</v>
      </c>
      <c r="H1056">
        <f t="shared" si="9"/>
        <v>0</v>
      </c>
    </row>
    <row r="1057" spans="6:8">
      <c r="F1057">
        <v>2.25</v>
      </c>
      <c r="G1057">
        <v>0.96</v>
      </c>
      <c r="H1057">
        <f t="shared" si="9"/>
        <v>0</v>
      </c>
    </row>
    <row r="1058" spans="6:8">
      <c r="F1058">
        <v>2.2519999999999998</v>
      </c>
      <c r="G1058">
        <v>0.96</v>
      </c>
      <c r="H1058">
        <f t="shared" si="9"/>
        <v>0</v>
      </c>
    </row>
    <row r="1059" spans="6:8">
      <c r="F1059">
        <v>2.254</v>
      </c>
      <c r="G1059">
        <v>0.96</v>
      </c>
      <c r="H1059">
        <f t="shared" si="9"/>
        <v>0</v>
      </c>
    </row>
    <row r="1060" spans="6:8">
      <c r="F1060">
        <v>2.2559999999999998</v>
      </c>
      <c r="G1060">
        <v>0.96</v>
      </c>
      <c r="H1060">
        <f t="shared" si="9"/>
        <v>0</v>
      </c>
    </row>
    <row r="1061" spans="6:8">
      <c r="F1061">
        <v>2.258</v>
      </c>
      <c r="G1061">
        <v>0.96</v>
      </c>
      <c r="H1061">
        <f t="shared" si="9"/>
        <v>0</v>
      </c>
    </row>
    <row r="1062" spans="6:8">
      <c r="F1062">
        <v>2.2599999999999998</v>
      </c>
      <c r="G1062">
        <v>0.96</v>
      </c>
      <c r="H1062">
        <f t="shared" si="9"/>
        <v>0</v>
      </c>
    </row>
    <row r="1063" spans="6:8">
      <c r="F1063">
        <v>2.262</v>
      </c>
      <c r="G1063">
        <v>0.96</v>
      </c>
      <c r="H1063">
        <f t="shared" si="9"/>
        <v>0</v>
      </c>
    </row>
    <row r="1064" spans="6:8">
      <c r="F1064">
        <v>2.2639999999999998</v>
      </c>
      <c r="G1064">
        <v>0.96</v>
      </c>
      <c r="H1064">
        <f t="shared" si="9"/>
        <v>0</v>
      </c>
    </row>
    <row r="1065" spans="6:8">
      <c r="F1065">
        <v>2.266</v>
      </c>
      <c r="G1065">
        <v>0.96</v>
      </c>
      <c r="H1065">
        <f t="shared" si="9"/>
        <v>0</v>
      </c>
    </row>
    <row r="1066" spans="6:8">
      <c r="F1066">
        <v>2.2679999999999998</v>
      </c>
      <c r="G1066">
        <v>0.96</v>
      </c>
      <c r="H1066">
        <f t="shared" si="9"/>
        <v>0</v>
      </c>
    </row>
    <row r="1067" spans="6:8">
      <c r="F1067">
        <v>2.27</v>
      </c>
      <c r="G1067">
        <v>0.96</v>
      </c>
      <c r="H1067">
        <f t="shared" si="9"/>
        <v>0</v>
      </c>
    </row>
    <row r="1068" spans="6:8">
      <c r="F1068">
        <v>2.2719999999999998</v>
      </c>
      <c r="G1068">
        <v>0.96</v>
      </c>
      <c r="H1068">
        <f t="shared" si="9"/>
        <v>0</v>
      </c>
    </row>
    <row r="1069" spans="6:8">
      <c r="F1069">
        <v>2.274</v>
      </c>
      <c r="G1069">
        <v>0.96</v>
      </c>
      <c r="H1069">
        <f t="shared" si="9"/>
        <v>0</v>
      </c>
    </row>
    <row r="1070" spans="6:8">
      <c r="F1070">
        <v>2.2759999999999998</v>
      </c>
      <c r="G1070">
        <v>0.96</v>
      </c>
      <c r="H1070">
        <f t="shared" si="9"/>
        <v>0</v>
      </c>
    </row>
    <row r="1071" spans="6:8">
      <c r="F1071">
        <v>2.278</v>
      </c>
      <c r="G1071">
        <v>0.96</v>
      </c>
      <c r="H1071">
        <f t="shared" si="9"/>
        <v>0</v>
      </c>
    </row>
    <row r="1072" spans="6:8">
      <c r="F1072">
        <v>2.2799999999999998</v>
      </c>
      <c r="G1072">
        <v>0.96</v>
      </c>
      <c r="H1072">
        <f t="shared" si="9"/>
        <v>0</v>
      </c>
    </row>
    <row r="1073" spans="6:8">
      <c r="F1073">
        <v>2.282</v>
      </c>
      <c r="G1073">
        <v>0.96</v>
      </c>
      <c r="H1073">
        <f t="shared" si="9"/>
        <v>0</v>
      </c>
    </row>
    <row r="1074" spans="6:8">
      <c r="F1074">
        <v>2.2839999999999998</v>
      </c>
      <c r="G1074">
        <v>0.96</v>
      </c>
      <c r="H1074">
        <f t="shared" si="9"/>
        <v>0</v>
      </c>
    </row>
    <row r="1075" spans="6:8">
      <c r="F1075">
        <v>2.286</v>
      </c>
      <c r="G1075">
        <v>0.96</v>
      </c>
      <c r="H1075">
        <f t="shared" si="9"/>
        <v>0</v>
      </c>
    </row>
    <row r="1076" spans="6:8">
      <c r="F1076">
        <v>2.2879999999999998</v>
      </c>
      <c r="G1076">
        <v>0.96</v>
      </c>
      <c r="H1076">
        <f t="shared" si="9"/>
        <v>0</v>
      </c>
    </row>
    <row r="1077" spans="6:8">
      <c r="F1077">
        <v>2.29</v>
      </c>
      <c r="G1077">
        <v>0.96</v>
      </c>
      <c r="H1077">
        <f t="shared" si="9"/>
        <v>0</v>
      </c>
    </row>
    <row r="1078" spans="6:8">
      <c r="F1078">
        <v>2.2919999999999998</v>
      </c>
      <c r="G1078">
        <v>0.96</v>
      </c>
      <c r="H1078">
        <f t="shared" si="9"/>
        <v>0</v>
      </c>
    </row>
    <row r="1079" spans="6:8">
      <c r="F1079">
        <v>2.294</v>
      </c>
      <c r="G1079">
        <v>0.96</v>
      </c>
      <c r="H1079">
        <f t="shared" si="9"/>
        <v>0</v>
      </c>
    </row>
    <row r="1080" spans="6:8">
      <c r="F1080">
        <v>2.2959999999999998</v>
      </c>
      <c r="G1080">
        <v>0.96</v>
      </c>
      <c r="H1080">
        <f t="shared" si="9"/>
        <v>0</v>
      </c>
    </row>
    <row r="1081" spans="6:8">
      <c r="F1081">
        <v>2.298</v>
      </c>
      <c r="G1081">
        <v>0.96</v>
      </c>
      <c r="H1081">
        <f t="shared" si="9"/>
        <v>0</v>
      </c>
    </row>
    <row r="1082" spans="6:8">
      <c r="F1082">
        <v>2.2999999999999998</v>
      </c>
      <c r="G1082">
        <v>0.96</v>
      </c>
      <c r="H1082">
        <f t="shared" si="9"/>
        <v>0</v>
      </c>
    </row>
    <row r="1083" spans="6:8">
      <c r="F1083">
        <v>2.302</v>
      </c>
      <c r="G1083">
        <v>0.96</v>
      </c>
      <c r="H1083">
        <f t="shared" si="9"/>
        <v>0</v>
      </c>
    </row>
    <row r="1084" spans="6:8">
      <c r="F1084">
        <v>2.3039999999999998</v>
      </c>
      <c r="G1084">
        <v>0.96</v>
      </c>
      <c r="H1084">
        <f t="shared" si="9"/>
        <v>0</v>
      </c>
    </row>
    <row r="1085" spans="6:8">
      <c r="F1085">
        <v>2.306</v>
      </c>
      <c r="G1085">
        <v>0.96</v>
      </c>
      <c r="H1085">
        <f t="shared" si="9"/>
        <v>0</v>
      </c>
    </row>
    <row r="1086" spans="6:8">
      <c r="F1086">
        <v>2.3079999999999998</v>
      </c>
      <c r="G1086">
        <v>0.96</v>
      </c>
      <c r="H1086">
        <f t="shared" si="9"/>
        <v>0</v>
      </c>
    </row>
    <row r="1087" spans="6:8">
      <c r="F1087">
        <v>2.31</v>
      </c>
      <c r="G1087">
        <v>0.96</v>
      </c>
      <c r="H1087">
        <f t="shared" si="9"/>
        <v>0</v>
      </c>
    </row>
    <row r="1088" spans="6:8">
      <c r="F1088">
        <v>2.3119999999999998</v>
      </c>
      <c r="G1088">
        <v>0.96</v>
      </c>
      <c r="H1088">
        <f t="shared" ref="H1088:H1151" si="10">$J$2-G1088</f>
        <v>0</v>
      </c>
    </row>
    <row r="1089" spans="6:8">
      <c r="F1089">
        <v>2.3140000000000001</v>
      </c>
      <c r="G1089">
        <v>0.96</v>
      </c>
      <c r="H1089">
        <f t="shared" si="10"/>
        <v>0</v>
      </c>
    </row>
    <row r="1090" spans="6:8">
      <c r="F1090">
        <v>2.3159999999999998</v>
      </c>
      <c r="G1090">
        <v>0.96</v>
      </c>
      <c r="H1090">
        <f t="shared" si="10"/>
        <v>0</v>
      </c>
    </row>
    <row r="1091" spans="6:8">
      <c r="F1091">
        <v>2.3180000000000001</v>
      </c>
      <c r="G1091">
        <v>0.96</v>
      </c>
      <c r="H1091">
        <f t="shared" si="10"/>
        <v>0</v>
      </c>
    </row>
    <row r="1092" spans="6:8">
      <c r="F1092">
        <v>2.3199999999999998</v>
      </c>
      <c r="G1092">
        <v>0.96</v>
      </c>
      <c r="H1092">
        <f t="shared" si="10"/>
        <v>0</v>
      </c>
    </row>
    <row r="1093" spans="6:8">
      <c r="F1093">
        <v>2.3220000000000001</v>
      </c>
      <c r="G1093">
        <v>0.96</v>
      </c>
      <c r="H1093">
        <f t="shared" si="10"/>
        <v>0</v>
      </c>
    </row>
    <row r="1094" spans="6:8">
      <c r="F1094">
        <v>2.3239999999999998</v>
      </c>
      <c r="G1094">
        <v>0.96</v>
      </c>
      <c r="H1094">
        <f t="shared" si="10"/>
        <v>0</v>
      </c>
    </row>
    <row r="1095" spans="6:8">
      <c r="F1095">
        <v>2.3260000000000001</v>
      </c>
      <c r="G1095">
        <v>0.96</v>
      </c>
      <c r="H1095">
        <f t="shared" si="10"/>
        <v>0</v>
      </c>
    </row>
    <row r="1096" spans="6:8">
      <c r="F1096">
        <v>2.3279999999999998</v>
      </c>
      <c r="G1096">
        <v>0.96</v>
      </c>
      <c r="H1096">
        <f t="shared" si="10"/>
        <v>0</v>
      </c>
    </row>
    <row r="1097" spans="6:8">
      <c r="F1097">
        <v>2.33</v>
      </c>
      <c r="G1097">
        <v>0.96</v>
      </c>
      <c r="H1097">
        <f t="shared" si="10"/>
        <v>0</v>
      </c>
    </row>
    <row r="1098" spans="6:8">
      <c r="F1098">
        <v>2.3319999999999999</v>
      </c>
      <c r="G1098">
        <v>0.96</v>
      </c>
      <c r="H1098">
        <f t="shared" si="10"/>
        <v>0</v>
      </c>
    </row>
    <row r="1099" spans="6:8">
      <c r="F1099">
        <v>2.3340000000000001</v>
      </c>
      <c r="G1099">
        <v>0.96</v>
      </c>
      <c r="H1099">
        <f t="shared" si="10"/>
        <v>0</v>
      </c>
    </row>
    <row r="1100" spans="6:8">
      <c r="F1100">
        <v>2.3359999999999999</v>
      </c>
      <c r="G1100">
        <v>0.96</v>
      </c>
      <c r="H1100">
        <f t="shared" si="10"/>
        <v>0</v>
      </c>
    </row>
    <row r="1101" spans="6:8">
      <c r="F1101">
        <v>2.3380000000000001</v>
      </c>
      <c r="G1101">
        <v>0.96</v>
      </c>
      <c r="H1101">
        <f t="shared" si="10"/>
        <v>0</v>
      </c>
    </row>
    <row r="1102" spans="6:8">
      <c r="F1102">
        <v>2.34</v>
      </c>
      <c r="G1102">
        <v>0.96</v>
      </c>
      <c r="H1102">
        <f t="shared" si="10"/>
        <v>0</v>
      </c>
    </row>
    <row r="1103" spans="6:8">
      <c r="F1103">
        <v>2.3420000000000001</v>
      </c>
      <c r="G1103">
        <v>0.96</v>
      </c>
      <c r="H1103">
        <f t="shared" si="10"/>
        <v>0</v>
      </c>
    </row>
    <row r="1104" spans="6:8">
      <c r="F1104">
        <v>2.3439999999999999</v>
      </c>
      <c r="G1104">
        <v>0.96</v>
      </c>
      <c r="H1104">
        <f t="shared" si="10"/>
        <v>0</v>
      </c>
    </row>
    <row r="1105" spans="6:8">
      <c r="F1105">
        <v>2.3460000000000001</v>
      </c>
      <c r="G1105">
        <v>0.96</v>
      </c>
      <c r="H1105">
        <f t="shared" si="10"/>
        <v>0</v>
      </c>
    </row>
    <row r="1106" spans="6:8">
      <c r="F1106">
        <v>2.3479999999999999</v>
      </c>
      <c r="G1106">
        <v>0.96</v>
      </c>
      <c r="H1106">
        <f t="shared" si="10"/>
        <v>0</v>
      </c>
    </row>
    <row r="1107" spans="6:8">
      <c r="F1107">
        <v>2.35</v>
      </c>
      <c r="G1107">
        <v>0.96</v>
      </c>
      <c r="H1107">
        <f t="shared" si="10"/>
        <v>0</v>
      </c>
    </row>
    <row r="1108" spans="6:8">
      <c r="F1108">
        <v>2.3519999999999999</v>
      </c>
      <c r="G1108">
        <v>0.96</v>
      </c>
      <c r="H1108">
        <f t="shared" si="10"/>
        <v>0</v>
      </c>
    </row>
    <row r="1109" spans="6:8">
      <c r="F1109">
        <v>2.3540000000000001</v>
      </c>
      <c r="G1109">
        <v>0.96</v>
      </c>
      <c r="H1109">
        <f t="shared" si="10"/>
        <v>0</v>
      </c>
    </row>
    <row r="1110" spans="6:8">
      <c r="F1110">
        <v>2.3559999999999999</v>
      </c>
      <c r="G1110">
        <v>0.96</v>
      </c>
      <c r="H1110">
        <f t="shared" si="10"/>
        <v>0</v>
      </c>
    </row>
    <row r="1111" spans="6:8">
      <c r="F1111">
        <v>2.3580000000000001</v>
      </c>
      <c r="G1111">
        <v>0.96</v>
      </c>
      <c r="H1111">
        <f t="shared" si="10"/>
        <v>0</v>
      </c>
    </row>
    <row r="1112" spans="6:8">
      <c r="F1112">
        <v>2.36</v>
      </c>
      <c r="G1112">
        <v>0.96</v>
      </c>
      <c r="H1112">
        <f t="shared" si="10"/>
        <v>0</v>
      </c>
    </row>
    <row r="1113" spans="6:8">
      <c r="F1113">
        <v>2.3620000000000001</v>
      </c>
      <c r="G1113">
        <v>0.96</v>
      </c>
      <c r="H1113">
        <f t="shared" si="10"/>
        <v>0</v>
      </c>
    </row>
    <row r="1114" spans="6:8">
      <c r="F1114">
        <v>2.3639999999999999</v>
      </c>
      <c r="G1114">
        <v>0.96</v>
      </c>
      <c r="H1114">
        <f t="shared" si="10"/>
        <v>0</v>
      </c>
    </row>
    <row r="1115" spans="6:8">
      <c r="F1115">
        <v>2.3660000000000001</v>
      </c>
      <c r="G1115">
        <v>0.96</v>
      </c>
      <c r="H1115">
        <f t="shared" si="10"/>
        <v>0</v>
      </c>
    </row>
    <row r="1116" spans="6:8">
      <c r="F1116">
        <v>2.3679999999999999</v>
      </c>
      <c r="G1116">
        <v>0.96</v>
      </c>
      <c r="H1116">
        <f t="shared" si="10"/>
        <v>0</v>
      </c>
    </row>
    <row r="1117" spans="6:8">
      <c r="F1117">
        <v>2.37</v>
      </c>
      <c r="G1117">
        <v>0.96</v>
      </c>
      <c r="H1117">
        <f t="shared" si="10"/>
        <v>0</v>
      </c>
    </row>
    <row r="1118" spans="6:8">
      <c r="F1118">
        <v>2.3719999999999999</v>
      </c>
      <c r="G1118">
        <v>0.96</v>
      </c>
      <c r="H1118">
        <f t="shared" si="10"/>
        <v>0</v>
      </c>
    </row>
    <row r="1119" spans="6:8">
      <c r="F1119">
        <v>2.3740000000000001</v>
      </c>
      <c r="G1119">
        <v>0.96</v>
      </c>
      <c r="H1119">
        <f t="shared" si="10"/>
        <v>0</v>
      </c>
    </row>
    <row r="1120" spans="6:8">
      <c r="F1120">
        <v>2.3759999999999999</v>
      </c>
      <c r="G1120">
        <v>0.96</v>
      </c>
      <c r="H1120">
        <f t="shared" si="10"/>
        <v>0</v>
      </c>
    </row>
    <row r="1121" spans="6:8">
      <c r="F1121">
        <v>2.3780000000000001</v>
      </c>
      <c r="G1121">
        <v>0.96</v>
      </c>
      <c r="H1121">
        <f t="shared" si="10"/>
        <v>0</v>
      </c>
    </row>
    <row r="1122" spans="6:8">
      <c r="F1122">
        <v>2.38</v>
      </c>
      <c r="G1122">
        <v>0.96</v>
      </c>
      <c r="H1122">
        <f t="shared" si="10"/>
        <v>0</v>
      </c>
    </row>
    <row r="1123" spans="6:8">
      <c r="F1123">
        <v>2.3820000000000001</v>
      </c>
      <c r="G1123">
        <v>0.96</v>
      </c>
      <c r="H1123">
        <f t="shared" si="10"/>
        <v>0</v>
      </c>
    </row>
    <row r="1124" spans="6:8">
      <c r="F1124">
        <v>2.3839999999999999</v>
      </c>
      <c r="G1124">
        <v>0.96</v>
      </c>
      <c r="H1124">
        <f t="shared" si="10"/>
        <v>0</v>
      </c>
    </row>
    <row r="1125" spans="6:8">
      <c r="F1125">
        <v>2.3860000000000001</v>
      </c>
      <c r="G1125">
        <v>0.96</v>
      </c>
      <c r="H1125">
        <f t="shared" si="10"/>
        <v>0</v>
      </c>
    </row>
    <row r="1126" spans="6:8">
      <c r="F1126">
        <v>2.3879999999999999</v>
      </c>
      <c r="G1126">
        <v>0.96</v>
      </c>
      <c r="H1126">
        <f t="shared" si="10"/>
        <v>0</v>
      </c>
    </row>
    <row r="1127" spans="6:8">
      <c r="F1127">
        <v>2.39</v>
      </c>
      <c r="G1127">
        <v>0.96</v>
      </c>
      <c r="H1127">
        <f t="shared" si="10"/>
        <v>0</v>
      </c>
    </row>
    <row r="1128" spans="6:8">
      <c r="F1128">
        <v>2.3919999999999999</v>
      </c>
      <c r="G1128">
        <v>0.96</v>
      </c>
      <c r="H1128">
        <f t="shared" si="10"/>
        <v>0</v>
      </c>
    </row>
    <row r="1129" spans="6:8">
      <c r="F1129">
        <v>2.3940000000000001</v>
      </c>
      <c r="G1129">
        <v>0.96</v>
      </c>
      <c r="H1129">
        <f t="shared" si="10"/>
        <v>0</v>
      </c>
    </row>
    <row r="1130" spans="6:8">
      <c r="F1130">
        <v>2.3959999999999999</v>
      </c>
      <c r="G1130">
        <v>0.96</v>
      </c>
      <c r="H1130">
        <f t="shared" si="10"/>
        <v>0</v>
      </c>
    </row>
    <row r="1131" spans="6:8">
      <c r="F1131">
        <v>2.3980000000000001</v>
      </c>
      <c r="G1131">
        <v>0.96</v>
      </c>
      <c r="H1131">
        <f t="shared" si="10"/>
        <v>0</v>
      </c>
    </row>
    <row r="1132" spans="6:8">
      <c r="F1132">
        <v>2.4</v>
      </c>
      <c r="G1132">
        <v>0.96</v>
      </c>
      <c r="H1132">
        <f t="shared" si="10"/>
        <v>0</v>
      </c>
    </row>
    <row r="1133" spans="6:8">
      <c r="F1133">
        <v>2.4020000000000001</v>
      </c>
      <c r="G1133">
        <v>0.96</v>
      </c>
      <c r="H1133">
        <f t="shared" si="10"/>
        <v>0</v>
      </c>
    </row>
    <row r="1134" spans="6:8">
      <c r="F1134">
        <v>2.4039999999999999</v>
      </c>
      <c r="G1134">
        <v>0.96</v>
      </c>
      <c r="H1134">
        <f t="shared" si="10"/>
        <v>0</v>
      </c>
    </row>
    <row r="1135" spans="6:8">
      <c r="F1135">
        <v>2.4060000000000001</v>
      </c>
      <c r="G1135">
        <v>0.96</v>
      </c>
      <c r="H1135">
        <f t="shared" si="10"/>
        <v>0</v>
      </c>
    </row>
    <row r="1136" spans="6:8">
      <c r="F1136">
        <v>2.4079999999999999</v>
      </c>
      <c r="G1136">
        <v>0.96</v>
      </c>
      <c r="H1136">
        <f t="shared" si="10"/>
        <v>0</v>
      </c>
    </row>
    <row r="1137" spans="6:8">
      <c r="F1137">
        <v>2.41</v>
      </c>
      <c r="G1137">
        <v>0.96</v>
      </c>
      <c r="H1137">
        <f t="shared" si="10"/>
        <v>0</v>
      </c>
    </row>
    <row r="1138" spans="6:8">
      <c r="F1138">
        <v>2.4119999999999999</v>
      </c>
      <c r="G1138">
        <v>0.96</v>
      </c>
      <c r="H1138">
        <f t="shared" si="10"/>
        <v>0</v>
      </c>
    </row>
    <row r="1139" spans="6:8">
      <c r="F1139">
        <v>2.4140000000000001</v>
      </c>
      <c r="G1139">
        <v>0.96</v>
      </c>
      <c r="H1139">
        <f t="shared" si="10"/>
        <v>0</v>
      </c>
    </row>
    <row r="1140" spans="6:8">
      <c r="F1140">
        <v>2.4159999999999999</v>
      </c>
      <c r="G1140">
        <v>0.96</v>
      </c>
      <c r="H1140">
        <f t="shared" si="10"/>
        <v>0</v>
      </c>
    </row>
    <row r="1141" spans="6:8">
      <c r="F1141">
        <v>2.4180000000000001</v>
      </c>
      <c r="G1141">
        <v>0.96</v>
      </c>
      <c r="H1141">
        <f t="shared" si="10"/>
        <v>0</v>
      </c>
    </row>
    <row r="1142" spans="6:8">
      <c r="F1142">
        <v>2.42</v>
      </c>
      <c r="G1142">
        <v>0.96</v>
      </c>
      <c r="H1142">
        <f t="shared" si="10"/>
        <v>0</v>
      </c>
    </row>
    <row r="1143" spans="6:8">
      <c r="F1143">
        <v>2.4220000000000002</v>
      </c>
      <c r="G1143">
        <v>0.96</v>
      </c>
      <c r="H1143">
        <f t="shared" si="10"/>
        <v>0</v>
      </c>
    </row>
    <row r="1144" spans="6:8">
      <c r="F1144">
        <v>2.4239999999999999</v>
      </c>
      <c r="G1144">
        <v>0.96</v>
      </c>
      <c r="H1144">
        <f t="shared" si="10"/>
        <v>0</v>
      </c>
    </row>
    <row r="1145" spans="6:8">
      <c r="F1145">
        <v>2.4260000000000002</v>
      </c>
      <c r="G1145">
        <v>0.96</v>
      </c>
      <c r="H1145">
        <f t="shared" si="10"/>
        <v>0</v>
      </c>
    </row>
    <row r="1146" spans="6:8">
      <c r="F1146">
        <v>2.4279999999999999</v>
      </c>
      <c r="G1146">
        <v>0.96</v>
      </c>
      <c r="H1146">
        <f t="shared" si="10"/>
        <v>0</v>
      </c>
    </row>
    <row r="1147" spans="6:8">
      <c r="F1147">
        <v>2.4300000000000002</v>
      </c>
      <c r="G1147">
        <v>0.96</v>
      </c>
      <c r="H1147">
        <f t="shared" si="10"/>
        <v>0</v>
      </c>
    </row>
    <row r="1148" spans="6:8">
      <c r="F1148">
        <v>2.4319999999999999</v>
      </c>
      <c r="G1148">
        <v>0.96</v>
      </c>
      <c r="H1148">
        <f t="shared" si="10"/>
        <v>0</v>
      </c>
    </row>
    <row r="1149" spans="6:8">
      <c r="F1149">
        <v>2.4340000000000002</v>
      </c>
      <c r="G1149">
        <v>0.96</v>
      </c>
      <c r="H1149">
        <f t="shared" si="10"/>
        <v>0</v>
      </c>
    </row>
    <row r="1150" spans="6:8">
      <c r="F1150">
        <v>2.4359999999999999</v>
      </c>
      <c r="G1150">
        <v>0.96</v>
      </c>
      <c r="H1150">
        <f t="shared" si="10"/>
        <v>0</v>
      </c>
    </row>
    <row r="1151" spans="6:8">
      <c r="F1151">
        <v>2.4380000000000002</v>
      </c>
      <c r="G1151">
        <v>0.96</v>
      </c>
      <c r="H1151">
        <f t="shared" si="10"/>
        <v>0</v>
      </c>
    </row>
    <row r="1152" spans="6:8">
      <c r="F1152">
        <v>2.44</v>
      </c>
      <c r="G1152">
        <v>0.96</v>
      </c>
      <c r="H1152">
        <f t="shared" ref="H1152:H1215" si="11">$J$2-G1152</f>
        <v>0</v>
      </c>
    </row>
    <row r="1153" spans="6:8">
      <c r="F1153">
        <v>2.4420000000000002</v>
      </c>
      <c r="G1153">
        <v>0.96</v>
      </c>
      <c r="H1153">
        <f t="shared" si="11"/>
        <v>0</v>
      </c>
    </row>
    <row r="1154" spans="6:8">
      <c r="F1154">
        <v>2.444</v>
      </c>
      <c r="G1154">
        <v>0.96</v>
      </c>
      <c r="H1154">
        <f t="shared" si="11"/>
        <v>0</v>
      </c>
    </row>
    <row r="1155" spans="6:8">
      <c r="F1155">
        <v>2.4460000000000002</v>
      </c>
      <c r="G1155">
        <v>0.96</v>
      </c>
      <c r="H1155">
        <f t="shared" si="11"/>
        <v>0</v>
      </c>
    </row>
    <row r="1156" spans="6:8">
      <c r="F1156">
        <v>2.448</v>
      </c>
      <c r="G1156">
        <v>0.96</v>
      </c>
      <c r="H1156">
        <f t="shared" si="11"/>
        <v>0</v>
      </c>
    </row>
    <row r="1157" spans="6:8">
      <c r="F1157">
        <v>2.4500000000000002</v>
      </c>
      <c r="G1157">
        <v>0.96</v>
      </c>
      <c r="H1157">
        <f t="shared" si="11"/>
        <v>0</v>
      </c>
    </row>
    <row r="1158" spans="6:8">
      <c r="F1158">
        <v>2.452</v>
      </c>
      <c r="G1158">
        <v>0.96</v>
      </c>
      <c r="H1158">
        <f t="shared" si="11"/>
        <v>0</v>
      </c>
    </row>
    <row r="1159" spans="6:8">
      <c r="F1159">
        <v>2.4540000000000002</v>
      </c>
      <c r="G1159">
        <v>0.96</v>
      </c>
      <c r="H1159">
        <f t="shared" si="11"/>
        <v>0</v>
      </c>
    </row>
    <row r="1160" spans="6:8">
      <c r="F1160">
        <v>2.456</v>
      </c>
      <c r="G1160">
        <v>0.96</v>
      </c>
      <c r="H1160">
        <f t="shared" si="11"/>
        <v>0</v>
      </c>
    </row>
    <row r="1161" spans="6:8">
      <c r="F1161">
        <v>2.4580000000000002</v>
      </c>
      <c r="G1161">
        <v>0.96</v>
      </c>
      <c r="H1161">
        <f t="shared" si="11"/>
        <v>0</v>
      </c>
    </row>
    <row r="1162" spans="6:8">
      <c r="F1162">
        <v>2.46</v>
      </c>
      <c r="G1162">
        <v>0.96</v>
      </c>
      <c r="H1162">
        <f t="shared" si="11"/>
        <v>0</v>
      </c>
    </row>
    <row r="1163" spans="6:8">
      <c r="F1163">
        <v>2.4620000000000002</v>
      </c>
      <c r="G1163">
        <v>0.96</v>
      </c>
      <c r="H1163">
        <f t="shared" si="11"/>
        <v>0</v>
      </c>
    </row>
    <row r="1164" spans="6:8">
      <c r="F1164">
        <v>2.464</v>
      </c>
      <c r="G1164">
        <v>0.96</v>
      </c>
      <c r="H1164">
        <f t="shared" si="11"/>
        <v>0</v>
      </c>
    </row>
    <row r="1165" spans="6:8">
      <c r="F1165">
        <v>2.4660000000000002</v>
      </c>
      <c r="G1165">
        <v>0.96</v>
      </c>
      <c r="H1165">
        <f t="shared" si="11"/>
        <v>0</v>
      </c>
    </row>
    <row r="1166" spans="6:8">
      <c r="F1166">
        <v>2.468</v>
      </c>
      <c r="G1166">
        <v>0.96</v>
      </c>
      <c r="H1166">
        <f t="shared" si="11"/>
        <v>0</v>
      </c>
    </row>
    <row r="1167" spans="6:8">
      <c r="F1167">
        <v>2.4700000000000002</v>
      </c>
      <c r="G1167">
        <v>0.96</v>
      </c>
      <c r="H1167">
        <f t="shared" si="11"/>
        <v>0</v>
      </c>
    </row>
    <row r="1168" spans="6:8">
      <c r="F1168">
        <v>2.472</v>
      </c>
      <c r="G1168">
        <v>0.96</v>
      </c>
      <c r="H1168">
        <f t="shared" si="11"/>
        <v>0</v>
      </c>
    </row>
    <row r="1169" spans="6:8">
      <c r="F1169">
        <v>2.4740000000000002</v>
      </c>
      <c r="G1169">
        <v>0.96</v>
      </c>
      <c r="H1169">
        <f t="shared" si="11"/>
        <v>0</v>
      </c>
    </row>
    <row r="1170" spans="6:8">
      <c r="F1170">
        <v>2.476</v>
      </c>
      <c r="G1170">
        <v>0.96</v>
      </c>
      <c r="H1170">
        <f t="shared" si="11"/>
        <v>0</v>
      </c>
    </row>
    <row r="1171" spans="6:8">
      <c r="F1171">
        <v>2.4780000000000002</v>
      </c>
      <c r="G1171">
        <v>0.96</v>
      </c>
      <c r="H1171">
        <f t="shared" si="11"/>
        <v>0</v>
      </c>
    </row>
    <row r="1172" spans="6:8">
      <c r="F1172">
        <v>2.48</v>
      </c>
      <c r="G1172">
        <v>0.96</v>
      </c>
      <c r="H1172">
        <f t="shared" si="11"/>
        <v>0</v>
      </c>
    </row>
    <row r="1173" spans="6:8">
      <c r="F1173">
        <v>2.4820000000000002</v>
      </c>
      <c r="G1173">
        <v>0.96</v>
      </c>
      <c r="H1173">
        <f t="shared" si="11"/>
        <v>0</v>
      </c>
    </row>
    <row r="1174" spans="6:8">
      <c r="F1174">
        <v>2.484</v>
      </c>
      <c r="G1174">
        <v>0.96</v>
      </c>
      <c r="H1174">
        <f t="shared" si="11"/>
        <v>0</v>
      </c>
    </row>
    <row r="1175" spans="6:8">
      <c r="F1175">
        <v>2.4860000000000002</v>
      </c>
      <c r="G1175">
        <v>0.96</v>
      </c>
      <c r="H1175">
        <f t="shared" si="11"/>
        <v>0</v>
      </c>
    </row>
    <row r="1176" spans="6:8">
      <c r="F1176">
        <v>2.488</v>
      </c>
      <c r="G1176">
        <v>0.96</v>
      </c>
      <c r="H1176">
        <f t="shared" si="11"/>
        <v>0</v>
      </c>
    </row>
    <row r="1177" spans="6:8">
      <c r="F1177">
        <v>2.4900000000000002</v>
      </c>
      <c r="G1177">
        <v>0.96</v>
      </c>
      <c r="H1177">
        <f t="shared" si="11"/>
        <v>0</v>
      </c>
    </row>
    <row r="1178" spans="6:8">
      <c r="F1178">
        <v>2.492</v>
      </c>
      <c r="G1178">
        <v>0.96</v>
      </c>
      <c r="H1178">
        <f t="shared" si="11"/>
        <v>0</v>
      </c>
    </row>
    <row r="1179" spans="6:8">
      <c r="F1179">
        <v>2.4940000000000002</v>
      </c>
      <c r="G1179">
        <v>0.96</v>
      </c>
      <c r="H1179">
        <f t="shared" si="11"/>
        <v>0</v>
      </c>
    </row>
    <row r="1180" spans="6:8">
      <c r="F1180">
        <v>2.496</v>
      </c>
      <c r="G1180">
        <v>0.96</v>
      </c>
      <c r="H1180">
        <f t="shared" si="11"/>
        <v>0</v>
      </c>
    </row>
    <row r="1181" spans="6:8">
      <c r="F1181">
        <v>2.4980000000000002</v>
      </c>
      <c r="G1181">
        <v>0.96</v>
      </c>
      <c r="H1181">
        <f t="shared" si="11"/>
        <v>0</v>
      </c>
    </row>
    <row r="1182" spans="6:8">
      <c r="F1182">
        <v>2.5</v>
      </c>
      <c r="G1182">
        <v>0.96</v>
      </c>
      <c r="H1182">
        <f t="shared" si="11"/>
        <v>0</v>
      </c>
    </row>
    <row r="1183" spans="6:8">
      <c r="F1183">
        <v>2.5019999999999998</v>
      </c>
      <c r="G1183">
        <v>0.96</v>
      </c>
      <c r="H1183">
        <f t="shared" si="11"/>
        <v>0</v>
      </c>
    </row>
    <row r="1184" spans="6:8">
      <c r="F1184">
        <v>2.504</v>
      </c>
      <c r="G1184">
        <v>0.96</v>
      </c>
      <c r="H1184">
        <f t="shared" si="11"/>
        <v>0</v>
      </c>
    </row>
    <row r="1185" spans="6:8">
      <c r="F1185">
        <v>2.5059999999999998</v>
      </c>
      <c r="G1185">
        <v>0.96</v>
      </c>
      <c r="H1185">
        <f t="shared" si="11"/>
        <v>0</v>
      </c>
    </row>
    <row r="1186" spans="6:8">
      <c r="F1186">
        <v>2.508</v>
      </c>
      <c r="G1186">
        <v>0.96</v>
      </c>
      <c r="H1186">
        <f t="shared" si="11"/>
        <v>0</v>
      </c>
    </row>
    <row r="1187" spans="6:8">
      <c r="F1187">
        <v>2.5099999999999998</v>
      </c>
      <c r="G1187">
        <v>0.96</v>
      </c>
      <c r="H1187">
        <f t="shared" si="11"/>
        <v>0</v>
      </c>
    </row>
    <row r="1188" spans="6:8">
      <c r="F1188">
        <v>2.512</v>
      </c>
      <c r="G1188">
        <v>0.96</v>
      </c>
      <c r="H1188">
        <f t="shared" si="11"/>
        <v>0</v>
      </c>
    </row>
    <row r="1189" spans="6:8">
      <c r="F1189">
        <v>2.5139999999999998</v>
      </c>
      <c r="G1189">
        <v>0.96</v>
      </c>
      <c r="H1189">
        <f t="shared" si="11"/>
        <v>0</v>
      </c>
    </row>
    <row r="1190" spans="6:8">
      <c r="F1190">
        <v>2.516</v>
      </c>
      <c r="G1190">
        <v>0.96</v>
      </c>
      <c r="H1190">
        <f t="shared" si="11"/>
        <v>0</v>
      </c>
    </row>
    <row r="1191" spans="6:8">
      <c r="F1191">
        <v>2.5179999999999998</v>
      </c>
      <c r="G1191">
        <v>0.96</v>
      </c>
      <c r="H1191">
        <f t="shared" si="11"/>
        <v>0</v>
      </c>
    </row>
    <row r="1192" spans="6:8">
      <c r="F1192">
        <v>2.52</v>
      </c>
      <c r="G1192">
        <v>0.96</v>
      </c>
      <c r="H1192">
        <f t="shared" si="11"/>
        <v>0</v>
      </c>
    </row>
    <row r="1193" spans="6:8">
      <c r="F1193">
        <v>2.5219999999999998</v>
      </c>
      <c r="G1193">
        <v>0.96</v>
      </c>
      <c r="H1193">
        <f t="shared" si="11"/>
        <v>0</v>
      </c>
    </row>
    <row r="1194" spans="6:8">
      <c r="F1194">
        <v>2.524</v>
      </c>
      <c r="G1194">
        <v>0.96</v>
      </c>
      <c r="H1194">
        <f t="shared" si="11"/>
        <v>0</v>
      </c>
    </row>
    <row r="1195" spans="6:8">
      <c r="F1195">
        <v>2.5259999999999998</v>
      </c>
      <c r="G1195">
        <v>0.96</v>
      </c>
      <c r="H1195">
        <f t="shared" si="11"/>
        <v>0</v>
      </c>
    </row>
    <row r="1196" spans="6:8">
      <c r="F1196">
        <v>2.528</v>
      </c>
      <c r="G1196">
        <v>0.96</v>
      </c>
      <c r="H1196">
        <f t="shared" si="11"/>
        <v>0</v>
      </c>
    </row>
    <row r="1197" spans="6:8">
      <c r="F1197">
        <v>2.5299999999999998</v>
      </c>
      <c r="G1197">
        <v>0.96</v>
      </c>
      <c r="H1197">
        <f t="shared" si="11"/>
        <v>0</v>
      </c>
    </row>
    <row r="1198" spans="6:8">
      <c r="F1198">
        <v>2.532</v>
      </c>
      <c r="G1198">
        <v>0.96</v>
      </c>
      <c r="H1198">
        <f t="shared" si="11"/>
        <v>0</v>
      </c>
    </row>
    <row r="1199" spans="6:8">
      <c r="F1199">
        <v>2.5339999999999998</v>
      </c>
      <c r="G1199">
        <v>0.96</v>
      </c>
      <c r="H1199">
        <f t="shared" si="11"/>
        <v>0</v>
      </c>
    </row>
    <row r="1200" spans="6:8">
      <c r="F1200">
        <v>2.536</v>
      </c>
      <c r="G1200">
        <v>0.96</v>
      </c>
      <c r="H1200">
        <f t="shared" si="11"/>
        <v>0</v>
      </c>
    </row>
    <row r="1201" spans="6:8">
      <c r="F1201">
        <v>2.5379999999999998</v>
      </c>
      <c r="G1201">
        <v>0.96</v>
      </c>
      <c r="H1201">
        <f t="shared" si="11"/>
        <v>0</v>
      </c>
    </row>
    <row r="1202" spans="6:8">
      <c r="F1202">
        <v>2.54</v>
      </c>
      <c r="G1202">
        <v>0.96</v>
      </c>
      <c r="H1202">
        <f t="shared" si="11"/>
        <v>0</v>
      </c>
    </row>
    <row r="1203" spans="6:8">
      <c r="F1203">
        <v>2.5419999999999998</v>
      </c>
      <c r="G1203">
        <v>0.96</v>
      </c>
      <c r="H1203">
        <f t="shared" si="11"/>
        <v>0</v>
      </c>
    </row>
    <row r="1204" spans="6:8">
      <c r="F1204">
        <v>2.544</v>
      </c>
      <c r="G1204">
        <v>0.96</v>
      </c>
      <c r="H1204">
        <f t="shared" si="11"/>
        <v>0</v>
      </c>
    </row>
    <row r="1205" spans="6:8">
      <c r="F1205">
        <v>2.5459999999999998</v>
      </c>
      <c r="G1205">
        <v>0.96</v>
      </c>
      <c r="H1205">
        <f t="shared" si="11"/>
        <v>0</v>
      </c>
    </row>
    <row r="1206" spans="6:8">
      <c r="F1206">
        <v>2.548</v>
      </c>
      <c r="G1206">
        <v>0.96</v>
      </c>
      <c r="H1206">
        <f t="shared" si="11"/>
        <v>0</v>
      </c>
    </row>
    <row r="1207" spans="6:8">
      <c r="F1207">
        <v>2.5499999999999998</v>
      </c>
      <c r="G1207">
        <v>0.96</v>
      </c>
      <c r="H1207">
        <f t="shared" si="11"/>
        <v>0</v>
      </c>
    </row>
    <row r="1208" spans="6:8">
      <c r="F1208">
        <v>2.552</v>
      </c>
      <c r="G1208">
        <v>0.96</v>
      </c>
      <c r="H1208">
        <f t="shared" si="11"/>
        <v>0</v>
      </c>
    </row>
    <row r="1209" spans="6:8">
      <c r="F1209">
        <v>2.5539999999999998</v>
      </c>
      <c r="G1209">
        <v>0.96</v>
      </c>
      <c r="H1209">
        <f t="shared" si="11"/>
        <v>0</v>
      </c>
    </row>
    <row r="1210" spans="6:8">
      <c r="F1210">
        <v>2.556</v>
      </c>
      <c r="G1210">
        <v>0.96</v>
      </c>
      <c r="H1210">
        <f t="shared" si="11"/>
        <v>0</v>
      </c>
    </row>
    <row r="1211" spans="6:8">
      <c r="F1211">
        <v>2.5579999999999998</v>
      </c>
      <c r="G1211">
        <v>0.96</v>
      </c>
      <c r="H1211">
        <f t="shared" si="11"/>
        <v>0</v>
      </c>
    </row>
    <row r="1212" spans="6:8">
      <c r="F1212">
        <v>2.56</v>
      </c>
      <c r="G1212">
        <v>0.96</v>
      </c>
      <c r="H1212">
        <f t="shared" si="11"/>
        <v>0</v>
      </c>
    </row>
    <row r="1213" spans="6:8">
      <c r="F1213">
        <v>2.5619999999999998</v>
      </c>
      <c r="G1213">
        <v>0.96</v>
      </c>
      <c r="H1213">
        <f t="shared" si="11"/>
        <v>0</v>
      </c>
    </row>
    <row r="1214" spans="6:8">
      <c r="F1214">
        <v>2.5640000000000001</v>
      </c>
      <c r="G1214">
        <v>0.96</v>
      </c>
      <c r="H1214">
        <f t="shared" si="11"/>
        <v>0</v>
      </c>
    </row>
    <row r="1215" spans="6:8">
      <c r="F1215">
        <v>2.5659999999999998</v>
      </c>
      <c r="G1215">
        <v>0.96</v>
      </c>
      <c r="H1215">
        <f t="shared" si="11"/>
        <v>0</v>
      </c>
    </row>
    <row r="1216" spans="6:8">
      <c r="F1216">
        <v>2.5680000000000001</v>
      </c>
      <c r="G1216">
        <v>0.96</v>
      </c>
      <c r="H1216">
        <f t="shared" ref="H1216:H1232" si="12">$J$2-G1216</f>
        <v>0</v>
      </c>
    </row>
    <row r="1217" spans="6:8">
      <c r="F1217">
        <v>2.57</v>
      </c>
      <c r="G1217">
        <v>0.96</v>
      </c>
      <c r="H1217">
        <f t="shared" si="12"/>
        <v>0</v>
      </c>
    </row>
    <row r="1218" spans="6:8">
      <c r="F1218">
        <v>2.5720000000000001</v>
      </c>
      <c r="G1218">
        <v>0.96</v>
      </c>
      <c r="H1218">
        <f t="shared" si="12"/>
        <v>0</v>
      </c>
    </row>
    <row r="1219" spans="6:8">
      <c r="F1219">
        <v>2.5739999999999998</v>
      </c>
      <c r="G1219">
        <v>0.96</v>
      </c>
      <c r="H1219">
        <f t="shared" si="12"/>
        <v>0</v>
      </c>
    </row>
    <row r="1220" spans="6:8">
      <c r="F1220">
        <v>2.5760000000000001</v>
      </c>
      <c r="G1220">
        <v>0.96</v>
      </c>
      <c r="H1220">
        <f t="shared" si="12"/>
        <v>0</v>
      </c>
    </row>
    <row r="1221" spans="6:8">
      <c r="F1221">
        <v>2.5779999999999998</v>
      </c>
      <c r="G1221">
        <v>0.96</v>
      </c>
      <c r="H1221">
        <f t="shared" si="12"/>
        <v>0</v>
      </c>
    </row>
    <row r="1222" spans="6:8">
      <c r="F1222">
        <v>2.58</v>
      </c>
      <c r="G1222">
        <v>0.96</v>
      </c>
      <c r="H1222">
        <f t="shared" si="12"/>
        <v>0</v>
      </c>
    </row>
    <row r="1223" spans="6:8">
      <c r="F1223">
        <v>2.5819999999999999</v>
      </c>
      <c r="G1223">
        <v>0.96</v>
      </c>
      <c r="H1223">
        <f t="shared" si="12"/>
        <v>0</v>
      </c>
    </row>
    <row r="1224" spans="6:8">
      <c r="F1224">
        <v>2.5840000000000001</v>
      </c>
      <c r="G1224">
        <v>0.96</v>
      </c>
      <c r="H1224">
        <f t="shared" si="12"/>
        <v>0</v>
      </c>
    </row>
    <row r="1225" spans="6:8">
      <c r="F1225">
        <v>2.5859999999999999</v>
      </c>
      <c r="G1225">
        <v>0.96</v>
      </c>
      <c r="H1225">
        <f t="shared" si="12"/>
        <v>0</v>
      </c>
    </row>
    <row r="1226" spans="6:8">
      <c r="F1226">
        <v>2.5880000000000001</v>
      </c>
      <c r="G1226">
        <v>0.96</v>
      </c>
      <c r="H1226">
        <f t="shared" si="12"/>
        <v>0</v>
      </c>
    </row>
    <row r="1227" spans="6:8">
      <c r="F1227">
        <v>2.59</v>
      </c>
      <c r="G1227">
        <v>0.96</v>
      </c>
      <c r="H1227">
        <f t="shared" si="12"/>
        <v>0</v>
      </c>
    </row>
    <row r="1228" spans="6:8">
      <c r="F1228">
        <v>2.5920000000000001</v>
      </c>
      <c r="G1228">
        <v>0.96</v>
      </c>
      <c r="H1228">
        <f t="shared" si="12"/>
        <v>0</v>
      </c>
    </row>
    <row r="1229" spans="6:8">
      <c r="F1229">
        <v>2.5939999999999999</v>
      </c>
      <c r="G1229">
        <v>0.96</v>
      </c>
      <c r="H1229">
        <f t="shared" si="12"/>
        <v>0</v>
      </c>
    </row>
    <row r="1230" spans="6:8">
      <c r="F1230">
        <v>2.5960000000000001</v>
      </c>
      <c r="G1230">
        <v>0.96</v>
      </c>
      <c r="H1230">
        <f t="shared" si="12"/>
        <v>0</v>
      </c>
    </row>
    <row r="1231" spans="6:8">
      <c r="F1231">
        <v>2.5979999999999999</v>
      </c>
      <c r="G1231">
        <v>0.96</v>
      </c>
      <c r="H1231">
        <f t="shared" si="12"/>
        <v>0</v>
      </c>
    </row>
    <row r="1232" spans="6:8">
      <c r="F1232">
        <v>2.6</v>
      </c>
      <c r="G1232">
        <v>0.96</v>
      </c>
      <c r="H1232">
        <f t="shared" si="12"/>
        <v>0</v>
      </c>
    </row>
  </sheetData>
  <phoneticPr fontId="4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7" enableFormatConditionsCalculation="0"/>
  <dimension ref="A1:H1232"/>
  <sheetViews>
    <sheetView workbookViewId="0">
      <selection activeCell="I477" sqref="I477"/>
    </sheetView>
  </sheetViews>
  <sheetFormatPr baseColWidth="10" defaultColWidth="8.83203125" defaultRowHeight="12"/>
  <sheetData>
    <row r="1" spans="1:2">
      <c r="A1" t="s">
        <v>346</v>
      </c>
    </row>
    <row r="2" spans="1:2" ht="36">
      <c r="A2" s="5" t="s">
        <v>347</v>
      </c>
      <c r="B2" s="5" t="s">
        <v>348</v>
      </c>
    </row>
    <row r="3" spans="1:2">
      <c r="A3">
        <v>1.3</v>
      </c>
      <c r="B3">
        <v>0.93388092040000004</v>
      </c>
    </row>
    <row r="4" spans="1:2">
      <c r="A4">
        <v>1.31</v>
      </c>
      <c r="B4">
        <v>0.9584835814999999</v>
      </c>
    </row>
    <row r="5" spans="1:2">
      <c r="A5">
        <v>1.32</v>
      </c>
      <c r="B5">
        <v>0.97126892089999994</v>
      </c>
    </row>
    <row r="6" spans="1:2">
      <c r="A6">
        <v>1.33</v>
      </c>
      <c r="B6">
        <v>0.96936988830000004</v>
      </c>
    </row>
    <row r="7" spans="1:2">
      <c r="A7">
        <v>1.34</v>
      </c>
      <c r="B7">
        <v>0.97260986329999999</v>
      </c>
    </row>
    <row r="8" spans="1:2">
      <c r="A8">
        <v>1.35</v>
      </c>
      <c r="B8">
        <v>0.97586456299999991</v>
      </c>
    </row>
    <row r="9" spans="1:2">
      <c r="A9">
        <v>1.36</v>
      </c>
      <c r="B9">
        <v>0.96856430049999998</v>
      </c>
    </row>
    <row r="10" spans="1:2">
      <c r="A10">
        <v>1.37</v>
      </c>
      <c r="B10">
        <v>0.95973129270000002</v>
      </c>
    </row>
    <row r="11" spans="1:2">
      <c r="A11">
        <v>1.38</v>
      </c>
      <c r="B11">
        <v>0.95854553220000005</v>
      </c>
    </row>
    <row r="12" spans="1:2">
      <c r="A12">
        <v>1.39</v>
      </c>
      <c r="B12">
        <v>0.96814323430000004</v>
      </c>
    </row>
    <row r="13" spans="1:2">
      <c r="A13">
        <v>1.4</v>
      </c>
      <c r="B13">
        <v>0.96471778869999991</v>
      </c>
    </row>
    <row r="14" spans="1:2">
      <c r="A14">
        <v>1.41</v>
      </c>
      <c r="B14">
        <v>0.95643875119999999</v>
      </c>
    </row>
    <row r="15" spans="1:2">
      <c r="A15">
        <v>1.42</v>
      </c>
      <c r="B15">
        <v>0.96025299070000003</v>
      </c>
    </row>
    <row r="16" spans="1:2">
      <c r="A16">
        <v>1.43</v>
      </c>
      <c r="B16">
        <v>0.98173721310000006</v>
      </c>
    </row>
    <row r="17" spans="1:2">
      <c r="A17">
        <v>1.44</v>
      </c>
      <c r="B17">
        <v>0.99649436949999992</v>
      </c>
    </row>
    <row r="18" spans="1:2">
      <c r="A18">
        <v>1.45</v>
      </c>
      <c r="B18">
        <v>0.99113685610000002</v>
      </c>
    </row>
    <row r="19" spans="1:2">
      <c r="A19">
        <v>1.46</v>
      </c>
      <c r="B19">
        <v>0.97368057250000006</v>
      </c>
    </row>
    <row r="20" spans="1:2">
      <c r="A20">
        <v>1.47</v>
      </c>
      <c r="B20">
        <v>0.97192062379999999</v>
      </c>
    </row>
    <row r="21" spans="1:2">
      <c r="A21">
        <v>1.48</v>
      </c>
      <c r="B21">
        <v>0.98105049129999999</v>
      </c>
    </row>
    <row r="22" spans="1:2">
      <c r="A22">
        <v>1.49</v>
      </c>
      <c r="B22">
        <v>0.98101478580000001</v>
      </c>
    </row>
    <row r="23" spans="1:2">
      <c r="A23">
        <v>1.5</v>
      </c>
      <c r="B23">
        <v>0.97104820250000001</v>
      </c>
    </row>
    <row r="24" spans="1:2">
      <c r="A24">
        <v>1.51</v>
      </c>
      <c r="B24">
        <v>0.96661041260000002</v>
      </c>
    </row>
    <row r="25" spans="1:2">
      <c r="A25">
        <v>1.52</v>
      </c>
      <c r="B25">
        <v>0.97326492310000001</v>
      </c>
    </row>
    <row r="26" spans="1:2">
      <c r="A26">
        <v>1.53</v>
      </c>
      <c r="B26">
        <v>0.98616378780000002</v>
      </c>
    </row>
    <row r="27" spans="1:2">
      <c r="A27">
        <v>1.55</v>
      </c>
      <c r="B27">
        <v>0.98068878170000007</v>
      </c>
    </row>
    <row r="28" spans="1:2">
      <c r="A28">
        <v>1.56</v>
      </c>
      <c r="B28">
        <v>0.98907653809999996</v>
      </c>
    </row>
    <row r="29" spans="1:2">
      <c r="A29">
        <v>1.57</v>
      </c>
      <c r="B29">
        <v>0.98960754390000005</v>
      </c>
    </row>
    <row r="30" spans="1:2">
      <c r="A30">
        <v>1.58</v>
      </c>
      <c r="B30">
        <v>0.98334678649999996</v>
      </c>
    </row>
    <row r="31" spans="1:2">
      <c r="A31">
        <v>1.59</v>
      </c>
      <c r="B31">
        <v>0.9716796875</v>
      </c>
    </row>
    <row r="32" spans="1:2">
      <c r="A32">
        <v>1.6</v>
      </c>
      <c r="B32">
        <v>0.97389259340000001</v>
      </c>
    </row>
    <row r="33" spans="1:2">
      <c r="A33">
        <v>1.61</v>
      </c>
      <c r="B33">
        <v>0.98224479679999999</v>
      </c>
    </row>
    <row r="34" spans="1:2">
      <c r="A34">
        <v>1.62</v>
      </c>
      <c r="B34">
        <v>0.99282348630000006</v>
      </c>
    </row>
    <row r="35" spans="1:2">
      <c r="A35">
        <v>1.63</v>
      </c>
      <c r="B35">
        <v>0.99050643920000003</v>
      </c>
    </row>
    <row r="36" spans="1:2">
      <c r="A36">
        <v>1.64</v>
      </c>
      <c r="B36">
        <v>0.98173347469999994</v>
      </c>
    </row>
    <row r="37" spans="1:2">
      <c r="A37">
        <v>1.65</v>
      </c>
      <c r="B37">
        <v>0.98168304439999998</v>
      </c>
    </row>
    <row r="38" spans="1:2">
      <c r="A38">
        <v>1.66</v>
      </c>
      <c r="B38">
        <v>0.99029937739999996</v>
      </c>
    </row>
    <row r="39" spans="1:2">
      <c r="A39">
        <v>1.67</v>
      </c>
      <c r="B39">
        <v>0.9889379882999999</v>
      </c>
    </row>
    <row r="40" spans="1:2">
      <c r="A40">
        <v>1.68</v>
      </c>
      <c r="B40">
        <v>0.97592216489999994</v>
      </c>
    </row>
    <row r="41" spans="1:2">
      <c r="A41">
        <v>1.69</v>
      </c>
      <c r="B41">
        <v>0.96260627749999994</v>
      </c>
    </row>
    <row r="42" spans="1:2">
      <c r="A42">
        <v>1.7</v>
      </c>
      <c r="B42">
        <v>0.96380714420000002</v>
      </c>
    </row>
    <row r="43" spans="1:2">
      <c r="A43">
        <v>1.71</v>
      </c>
      <c r="B43">
        <v>0.97844085690000004</v>
      </c>
    </row>
    <row r="44" spans="1:2">
      <c r="A44">
        <v>1.72</v>
      </c>
      <c r="B44">
        <v>0.99326133729999999</v>
      </c>
    </row>
    <row r="45" spans="1:2">
      <c r="A45">
        <v>1.73</v>
      </c>
      <c r="B45">
        <v>0.99620399479999999</v>
      </c>
    </row>
    <row r="46" spans="1:2">
      <c r="A46">
        <v>1.74</v>
      </c>
      <c r="B46">
        <v>0.9937851714999999</v>
      </c>
    </row>
    <row r="47" spans="1:2">
      <c r="A47">
        <v>1.75</v>
      </c>
      <c r="B47">
        <v>0.98780975339999999</v>
      </c>
    </row>
    <row r="48" spans="1:2">
      <c r="A48">
        <v>1.76</v>
      </c>
      <c r="B48">
        <v>0.9745018768</v>
      </c>
    </row>
    <row r="49" spans="1:2">
      <c r="A49">
        <v>1.77</v>
      </c>
      <c r="B49">
        <v>0.95226135249999999</v>
      </c>
    </row>
    <row r="50" spans="1:2">
      <c r="A50">
        <v>1.78</v>
      </c>
      <c r="B50">
        <v>0.93757072450000001</v>
      </c>
    </row>
    <row r="51" spans="1:2">
      <c r="A51">
        <v>1.79</v>
      </c>
      <c r="B51">
        <v>0.93784072879999991</v>
      </c>
    </row>
    <row r="52" spans="1:2">
      <c r="A52">
        <v>1.8</v>
      </c>
      <c r="B52">
        <v>0.95631408689999997</v>
      </c>
    </row>
    <row r="53" spans="1:2">
      <c r="A53">
        <v>1.81</v>
      </c>
      <c r="B53">
        <v>0.98297538759999992</v>
      </c>
    </row>
    <row r="54" spans="1:2">
      <c r="A54">
        <v>1.82</v>
      </c>
      <c r="B54">
        <v>0.99466148380000008</v>
      </c>
    </row>
    <row r="55" spans="1:2">
      <c r="A55">
        <v>1.83</v>
      </c>
      <c r="B55">
        <v>0.99652839660000003</v>
      </c>
    </row>
    <row r="56" spans="1:2">
      <c r="A56">
        <v>1.84</v>
      </c>
      <c r="B56">
        <v>0.99605552669999997</v>
      </c>
    </row>
    <row r="57" spans="1:2">
      <c r="A57">
        <v>1.85</v>
      </c>
      <c r="B57">
        <v>0.99338294979999997</v>
      </c>
    </row>
    <row r="58" spans="1:2">
      <c r="A58">
        <v>1.86</v>
      </c>
      <c r="B58">
        <v>0.97769973750000005</v>
      </c>
    </row>
    <row r="59" spans="1:2">
      <c r="A59">
        <v>1.87</v>
      </c>
      <c r="B59">
        <v>0.95704689030000001</v>
      </c>
    </row>
    <row r="60" spans="1:2">
      <c r="A60">
        <v>1.88</v>
      </c>
      <c r="B60">
        <v>0.9387752533</v>
      </c>
    </row>
    <row r="61" spans="1:2">
      <c r="A61">
        <v>1.89</v>
      </c>
      <c r="B61">
        <v>0.93531738279999999</v>
      </c>
    </row>
    <row r="62" spans="1:2">
      <c r="A62">
        <v>1.9</v>
      </c>
      <c r="B62">
        <v>0.94529396059999993</v>
      </c>
    </row>
    <row r="63" spans="1:2">
      <c r="A63">
        <v>1.91</v>
      </c>
      <c r="B63">
        <v>0.9598787688999999</v>
      </c>
    </row>
    <row r="64" spans="1:2">
      <c r="A64">
        <v>1.92</v>
      </c>
      <c r="B64">
        <v>0.9723564911</v>
      </c>
    </row>
    <row r="65" spans="1:2">
      <c r="A65">
        <v>1.93</v>
      </c>
      <c r="B65">
        <v>0.9827053832999999</v>
      </c>
    </row>
    <row r="66" spans="1:2">
      <c r="A66">
        <v>1.94</v>
      </c>
      <c r="B66">
        <v>0.99080268860000009</v>
      </c>
    </row>
    <row r="67" spans="1:2">
      <c r="A67">
        <v>1.95</v>
      </c>
      <c r="B67">
        <v>0.99697746279999999</v>
      </c>
    </row>
    <row r="68" spans="1:2">
      <c r="A68">
        <v>1.96</v>
      </c>
      <c r="B68">
        <v>0.99284484860000011</v>
      </c>
    </row>
    <row r="69" spans="1:2">
      <c r="A69">
        <v>1.97</v>
      </c>
      <c r="B69">
        <v>0.98338920590000001</v>
      </c>
    </row>
    <row r="70" spans="1:2">
      <c r="A70">
        <v>1.98</v>
      </c>
      <c r="B70">
        <v>0.95130775450000005</v>
      </c>
    </row>
    <row r="71" spans="1:2">
      <c r="A71">
        <v>1.99</v>
      </c>
      <c r="B71">
        <v>0.92537704469999993</v>
      </c>
    </row>
    <row r="72" spans="1:2">
      <c r="A72">
        <v>2</v>
      </c>
      <c r="B72">
        <v>0.97232421880000008</v>
      </c>
    </row>
    <row r="74" spans="1:2">
      <c r="A74" t="s">
        <v>340</v>
      </c>
      <c r="B74">
        <f>AVERAGE(B3:B72)</f>
        <v>0.97349343871714256</v>
      </c>
    </row>
    <row r="448" spans="8:8">
      <c r="H448">
        <v>0.97475727134545453</v>
      </c>
    </row>
    <row r="449" spans="8:8">
      <c r="H449">
        <v>0.97473133621818175</v>
      </c>
    </row>
    <row r="450" spans="8:8">
      <c r="H450">
        <v>0.97473047599545448</v>
      </c>
    </row>
    <row r="451" spans="8:8">
      <c r="H451">
        <v>0.97471484454545443</v>
      </c>
    </row>
    <row r="452" spans="8:8">
      <c r="H452">
        <v>0.97470478961818174</v>
      </c>
    </row>
    <row r="453" spans="8:8">
      <c r="H453">
        <v>0.97469708922272713</v>
      </c>
    </row>
    <row r="454" spans="8:8">
      <c r="H454">
        <v>0.9746837064727274</v>
      </c>
    </row>
    <row r="455" spans="8:8">
      <c r="H455">
        <v>0.97468800487272733</v>
      </c>
    </row>
    <row r="456" spans="8:8">
      <c r="H456">
        <v>0.97470089826363648</v>
      </c>
    </row>
    <row r="457" spans="8:8">
      <c r="H457">
        <v>0.97468894469545475</v>
      </c>
    </row>
    <row r="458" spans="8:8">
      <c r="H458">
        <v>0.97469419196363627</v>
      </c>
    </row>
    <row r="459" spans="8:8">
      <c r="H459">
        <v>0.97470212301818182</v>
      </c>
    </row>
    <row r="460" spans="8:8">
      <c r="H460">
        <v>0.97469560667272725</v>
      </c>
    </row>
    <row r="461" spans="8:8">
      <c r="H461">
        <v>0.97467857498636346</v>
      </c>
    </row>
    <row r="462" spans="8:8">
      <c r="H462">
        <v>0.9746724304090908</v>
      </c>
    </row>
    <row r="463" spans="8:8">
      <c r="H463">
        <v>0.97467746963181823</v>
      </c>
    </row>
    <row r="464" spans="8:8">
      <c r="H464">
        <v>0.97466478971363646</v>
      </c>
    </row>
    <row r="465" spans="8:8">
      <c r="H465">
        <v>0.97467147611363625</v>
      </c>
    </row>
    <row r="466" spans="8:8">
      <c r="H466">
        <v>0.974668281259091</v>
      </c>
    </row>
    <row r="467" spans="8:8">
      <c r="H467">
        <v>0.97465657553636365</v>
      </c>
    </row>
    <row r="468" spans="8:8">
      <c r="H468">
        <v>0.97465626346818179</v>
      </c>
    </row>
    <row r="469" spans="8:8">
      <c r="H469">
        <v>0.97465053226818188</v>
      </c>
    </row>
    <row r="470" spans="8:8">
      <c r="H470">
        <v>0.97467505359090922</v>
      </c>
    </row>
    <row r="471" spans="8:8">
      <c r="H471">
        <v>0.97469466865909093</v>
      </c>
    </row>
    <row r="472" spans="8:8">
      <c r="H472">
        <v>0.97472309219090902</v>
      </c>
    </row>
    <row r="473" spans="8:8">
      <c r="H473">
        <v>0.97473981633181817</v>
      </c>
    </row>
    <row r="474" spans="8:8">
      <c r="H474">
        <v>0.97477171422272746</v>
      </c>
    </row>
    <row r="475" spans="8:8">
      <c r="H475">
        <v>0.97479841640454568</v>
      </c>
    </row>
    <row r="476" spans="8:8">
      <c r="H476">
        <v>0.97480697340454558</v>
      </c>
    </row>
    <row r="477" spans="8:8">
      <c r="H477">
        <v>0.97480650575454542</v>
      </c>
    </row>
    <row r="478" spans="8:8">
      <c r="H478">
        <v>0.97480869294545458</v>
      </c>
    </row>
    <row r="479" spans="8:8">
      <c r="H479">
        <v>0.97482313582272728</v>
      </c>
    </row>
    <row r="480" spans="8:8">
      <c r="H480">
        <v>0.97484512894090913</v>
      </c>
    </row>
    <row r="481" spans="8:8">
      <c r="H481">
        <v>0.97484182101818195</v>
      </c>
    </row>
    <row r="482" spans="8:8">
      <c r="H482">
        <v>0.97485496315909104</v>
      </c>
    </row>
    <row r="483" spans="8:8">
      <c r="H483">
        <v>0.97484632474999999</v>
      </c>
    </row>
    <row r="484" spans="8:8">
      <c r="H484">
        <v>0.97484934955000002</v>
      </c>
    </row>
    <row r="485" spans="8:8">
      <c r="H485">
        <v>0.97483205916363647</v>
      </c>
    </row>
    <row r="486" spans="8:8">
      <c r="H486">
        <v>0.97483791066818171</v>
      </c>
    </row>
    <row r="487" spans="8:8">
      <c r="H487">
        <v>0.97484741653636364</v>
      </c>
    </row>
    <row r="488" spans="8:8">
      <c r="H488">
        <v>0.97486867245000008</v>
      </c>
    </row>
    <row r="489" spans="8:8">
      <c r="H489">
        <v>0.9748821447499999</v>
      </c>
    </row>
    <row r="490" spans="8:8">
      <c r="H490">
        <v>0.97491240450909122</v>
      </c>
    </row>
    <row r="491" spans="8:8">
      <c r="H491">
        <v>0.97493587655909097</v>
      </c>
    </row>
    <row r="492" spans="8:8">
      <c r="H492">
        <v>0.97496196184090911</v>
      </c>
    </row>
    <row r="493" spans="8:8">
      <c r="H493">
        <v>0.97497897634090891</v>
      </c>
    </row>
    <row r="494" spans="8:8">
      <c r="H494">
        <v>0.97501466156363614</v>
      </c>
    </row>
    <row r="495" spans="8:8">
      <c r="H495">
        <v>0.97503175837727274</v>
      </c>
    </row>
    <row r="496" spans="8:8">
      <c r="H496">
        <v>0.97506544726818178</v>
      </c>
    </row>
    <row r="497" spans="8:8">
      <c r="H497">
        <v>0.97509113093181821</v>
      </c>
    </row>
    <row r="498" spans="8:8">
      <c r="H498">
        <v>0.97511422578636386</v>
      </c>
    </row>
    <row r="499" spans="8:8">
      <c r="H499">
        <v>0.97513121495909105</v>
      </c>
    </row>
    <row r="500" spans="8:8">
      <c r="H500">
        <v>0.97517387151363621</v>
      </c>
    </row>
    <row r="501" spans="8:8">
      <c r="H501">
        <v>0.97518614619545463</v>
      </c>
    </row>
    <row r="502" spans="8:8">
      <c r="H502">
        <v>0.97518460123181816</v>
      </c>
    </row>
    <row r="503" spans="8:8">
      <c r="H503">
        <v>0.97519693018636378</v>
      </c>
    </row>
    <row r="504" spans="8:8">
      <c r="H504">
        <v>0.97521206684999995</v>
      </c>
    </row>
    <row r="505" spans="8:8">
      <c r="H505">
        <v>0.97522162065909102</v>
      </c>
    </row>
    <row r="506" spans="8:8">
      <c r="H506">
        <v>0.97524518406818184</v>
      </c>
    </row>
    <row r="507" spans="8:8">
      <c r="H507">
        <v>0.97525159910454551</v>
      </c>
    </row>
    <row r="508" spans="8:8">
      <c r="H508">
        <v>0.97526258842727287</v>
      </c>
    </row>
    <row r="509" spans="8:8">
      <c r="H509">
        <v>0.97528444405454551</v>
      </c>
    </row>
    <row r="510" spans="8:8">
      <c r="H510">
        <v>0.97531388067727265</v>
      </c>
    </row>
    <row r="511" spans="8:8">
      <c r="H511">
        <v>0.97531947619545467</v>
      </c>
    </row>
    <row r="512" spans="8:8">
      <c r="H512">
        <v>0.97534532358181836</v>
      </c>
    </row>
    <row r="513" spans="8:8">
      <c r="H513">
        <v>0.97536950570000014</v>
      </c>
    </row>
    <row r="514" spans="8:8">
      <c r="H514">
        <v>0.9753835894727273</v>
      </c>
    </row>
    <row r="515" spans="8:8">
      <c r="H515">
        <v>0.97539420702727286</v>
      </c>
    </row>
    <row r="516" spans="8:8">
      <c r="H516">
        <v>0.97540950108181823</v>
      </c>
    </row>
    <row r="517" spans="8:8">
      <c r="H517">
        <v>0.97543127439545441</v>
      </c>
    </row>
    <row r="518" spans="8:8">
      <c r="H518">
        <v>0.97545933610909086</v>
      </c>
    </row>
    <row r="519" spans="8:8">
      <c r="H519">
        <v>0.97548236945454547</v>
      </c>
    </row>
    <row r="520" spans="8:8">
      <c r="H520">
        <v>0.97550835342727282</v>
      </c>
    </row>
    <row r="521" spans="8:8">
      <c r="H521">
        <v>0.97552995216363636</v>
      </c>
    </row>
    <row r="522" spans="8:8">
      <c r="H522">
        <v>0.97556745642727261</v>
      </c>
    </row>
    <row r="523" spans="8:8">
      <c r="H523">
        <v>0.97559377508181822</v>
      </c>
    </row>
    <row r="524" spans="8:8">
      <c r="H524">
        <v>0.97561725346363648</v>
      </c>
    </row>
    <row r="525" spans="8:8">
      <c r="H525">
        <v>0.975637271959091</v>
      </c>
    </row>
    <row r="526" spans="8:8">
      <c r="H526">
        <v>0.97566259018636359</v>
      </c>
    </row>
    <row r="527" spans="8:8">
      <c r="H527">
        <v>0.97568122834545468</v>
      </c>
    </row>
    <row r="528" spans="8:8">
      <c r="H528">
        <v>0.97571049129545473</v>
      </c>
    </row>
    <row r="529" spans="8:8">
      <c r="H529">
        <v>0.97575173766363621</v>
      </c>
    </row>
    <row r="530" spans="8:8">
      <c r="H530">
        <v>0.97578017204999989</v>
      </c>
    </row>
    <row r="531" spans="8:8">
      <c r="H531">
        <v>0.97579127534545462</v>
      </c>
    </row>
    <row r="532" spans="8:8">
      <c r="H532">
        <v>0.97580936082727265</v>
      </c>
    </row>
    <row r="533" spans="8:8">
      <c r="H533">
        <v>0.97581557957727283</v>
      </c>
    </row>
    <row r="534" spans="8:8">
      <c r="H534">
        <v>0.9758197775727272</v>
      </c>
    </row>
    <row r="535" spans="8:8">
      <c r="H535">
        <v>0.97583513765909102</v>
      </c>
    </row>
    <row r="536" spans="8:8">
      <c r="H536">
        <v>0.97585963908181805</v>
      </c>
    </row>
    <row r="537" spans="8:8">
      <c r="H537">
        <v>0.97589075815909099</v>
      </c>
    </row>
    <row r="538" spans="8:8">
      <c r="H538">
        <v>0.97593224061363637</v>
      </c>
    </row>
    <row r="539" spans="8:8">
      <c r="H539">
        <v>0.97595747652727272</v>
      </c>
    </row>
    <row r="540" spans="8:8">
      <c r="H540">
        <v>0.97597484741818197</v>
      </c>
    </row>
    <row r="541" spans="8:8">
      <c r="H541">
        <v>0.97600150889545445</v>
      </c>
    </row>
    <row r="542" spans="8:8">
      <c r="H542">
        <v>0.97602882616818187</v>
      </c>
    </row>
    <row r="543" spans="8:8">
      <c r="H543">
        <v>0.97605206936818178</v>
      </c>
    </row>
    <row r="544" spans="8:8">
      <c r="H544">
        <v>0.97608377097272736</v>
      </c>
    </row>
    <row r="545" spans="8:8">
      <c r="H545">
        <v>0.97611674255909098</v>
      </c>
    </row>
    <row r="546" spans="8:8">
      <c r="H546">
        <v>0.97615393837272735</v>
      </c>
    </row>
    <row r="547" spans="8:8">
      <c r="H547">
        <v>0.97619077146363653</v>
      </c>
    </row>
    <row r="548" spans="8:8">
      <c r="H548">
        <v>0.97620418134999998</v>
      </c>
    </row>
    <row r="549" spans="8:8">
      <c r="H549">
        <v>0.9762189064454545</v>
      </c>
    </row>
    <row r="550" spans="8:8">
      <c r="H550">
        <v>0.97625076725000004</v>
      </c>
    </row>
    <row r="551" spans="8:8">
      <c r="H551">
        <v>0.97627852774999979</v>
      </c>
    </row>
    <row r="552" spans="8:8">
      <c r="H552">
        <v>0.97630360627272728</v>
      </c>
    </row>
    <row r="553" spans="8:8">
      <c r="H553">
        <v>0.97633084484999999</v>
      </c>
    </row>
    <row r="554" spans="8:8">
      <c r="H554">
        <v>0.9763550794318181</v>
      </c>
    </row>
    <row r="555" spans="8:8">
      <c r="H555">
        <v>0.97637444665454554</v>
      </c>
    </row>
    <row r="556" spans="8:8">
      <c r="H556">
        <v>0.97639677807272729</v>
      </c>
    </row>
    <row r="557" spans="8:8">
      <c r="H557">
        <v>0.9764217769954544</v>
      </c>
    </row>
    <row r="558" spans="8:8">
      <c r="H558">
        <v>0.97644403876363628</v>
      </c>
    </row>
    <row r="559" spans="8:8">
      <c r="H559">
        <v>0.97648790288636389</v>
      </c>
    </row>
    <row r="560" spans="8:8">
      <c r="H560">
        <v>0.97651891974999994</v>
      </c>
    </row>
    <row r="561" spans="8:8">
      <c r="H561">
        <v>0.97653196691363631</v>
      </c>
    </row>
    <row r="562" spans="8:8">
      <c r="H562">
        <v>0.97655530147272729</v>
      </c>
    </row>
    <row r="563" spans="8:8">
      <c r="H563">
        <v>0.97658547349090907</v>
      </c>
    </row>
    <row r="564" spans="8:8">
      <c r="H564">
        <v>0.97662333414545444</v>
      </c>
    </row>
    <row r="565" spans="8:8">
      <c r="H565">
        <v>0.97666569672272718</v>
      </c>
    </row>
    <row r="566" spans="8:8">
      <c r="H566">
        <v>0.97670302188636371</v>
      </c>
    </row>
    <row r="567" spans="8:8">
      <c r="H567">
        <v>0.97673862750909113</v>
      </c>
    </row>
    <row r="568" spans="8:8">
      <c r="H568">
        <v>0.97675877897272745</v>
      </c>
    </row>
    <row r="569" spans="8:8">
      <c r="H569">
        <v>0.97678430705454544</v>
      </c>
    </row>
    <row r="570" spans="8:8">
      <c r="H570">
        <v>0.97680130979545465</v>
      </c>
    </row>
    <row r="571" spans="8:8">
      <c r="H571">
        <v>0.97682899250454536</v>
      </c>
    </row>
    <row r="572" spans="8:8">
      <c r="H572">
        <v>0.97686503502272726</v>
      </c>
    </row>
    <row r="573" spans="8:8">
      <c r="H573">
        <v>0.97689103256363652</v>
      </c>
    </row>
    <row r="574" spans="8:8">
      <c r="H574">
        <v>0.97691361635000018</v>
      </c>
    </row>
    <row r="575" spans="8:8">
      <c r="H575">
        <v>0.97693931086818198</v>
      </c>
    </row>
    <row r="576" spans="8:8">
      <c r="H576">
        <v>0.97695992455454539</v>
      </c>
    </row>
    <row r="577" spans="8:8">
      <c r="H577">
        <v>0.97697736328636353</v>
      </c>
    </row>
    <row r="578" spans="8:8">
      <c r="H578">
        <v>0.9769997643545455</v>
      </c>
    </row>
    <row r="579" spans="8:8">
      <c r="H579">
        <v>0.97703437497727297</v>
      </c>
    </row>
    <row r="580" spans="8:8">
      <c r="H580">
        <v>0.9770544884500002</v>
      </c>
    </row>
    <row r="581" spans="8:8">
      <c r="H581">
        <v>0.97708196039999995</v>
      </c>
    </row>
    <row r="582" spans="8:8">
      <c r="H582">
        <v>0.97712441524090887</v>
      </c>
    </row>
    <row r="583" spans="8:8">
      <c r="H583">
        <v>0.97714711390454534</v>
      </c>
    </row>
    <row r="584" spans="8:8">
      <c r="H584">
        <v>0.97716396739545464</v>
      </c>
    </row>
    <row r="585" spans="8:8">
      <c r="H585">
        <v>0.97718955427272713</v>
      </c>
    </row>
    <row r="586" spans="8:8">
      <c r="H586">
        <v>0.97720782518636351</v>
      </c>
    </row>
    <row r="587" spans="8:8">
      <c r="H587">
        <v>0.97723386795454548</v>
      </c>
    </row>
    <row r="588" spans="8:8">
      <c r="H588">
        <v>0.9772547765227273</v>
      </c>
    </row>
    <row r="589" spans="8:8">
      <c r="H589">
        <v>0.9772810843227272</v>
      </c>
    </row>
    <row r="590" spans="8:8">
      <c r="H590">
        <v>0.97730665582272724</v>
      </c>
    </row>
    <row r="591" spans="8:8">
      <c r="H591">
        <v>0.97733646421363629</v>
      </c>
    </row>
    <row r="592" spans="8:8">
      <c r="H592">
        <v>0.97737011511363636</v>
      </c>
    </row>
    <row r="593" spans="8:8">
      <c r="H593">
        <v>0.97739392365454536</v>
      </c>
    </row>
    <row r="594" spans="8:8">
      <c r="H594">
        <v>0.97740952796818192</v>
      </c>
    </row>
    <row r="595" spans="8:8">
      <c r="H595">
        <v>0.97743528851818184</v>
      </c>
    </row>
    <row r="596" spans="8:8">
      <c r="H596">
        <v>0.97746506886818196</v>
      </c>
    </row>
    <row r="597" spans="8:8">
      <c r="H597">
        <v>0.9775028028863636</v>
      </c>
    </row>
    <row r="598" spans="8:8">
      <c r="H598">
        <v>0.97752517681818174</v>
      </c>
    </row>
    <row r="599" spans="8:8">
      <c r="H599">
        <v>0.97756358110454533</v>
      </c>
    </row>
    <row r="600" spans="8:8">
      <c r="H600">
        <v>0.97759405252727261</v>
      </c>
    </row>
    <row r="601" spans="8:8">
      <c r="H601">
        <v>0.97761691943636353</v>
      </c>
    </row>
    <row r="602" spans="8:8">
      <c r="H602">
        <v>0.97763800258181821</v>
      </c>
    </row>
    <row r="603" spans="8:8">
      <c r="H603">
        <v>0.97766886838636358</v>
      </c>
    </row>
    <row r="604" spans="8:8">
      <c r="H604">
        <v>0.97768653325454546</v>
      </c>
    </row>
    <row r="605" spans="8:8">
      <c r="H605">
        <v>0.97772834948636356</v>
      </c>
    </row>
    <row r="606" spans="8:8">
      <c r="H606">
        <v>0.97775472150909082</v>
      </c>
    </row>
    <row r="607" spans="8:8">
      <c r="H607">
        <v>0.97777523117272724</v>
      </c>
    </row>
    <row r="608" spans="8:8">
      <c r="H608">
        <v>0.97778695950909078</v>
      </c>
    </row>
    <row r="609" spans="8:8">
      <c r="H609">
        <v>0.97781166716818158</v>
      </c>
    </row>
    <row r="610" spans="8:8">
      <c r="H610">
        <v>0.97783040663636345</v>
      </c>
    </row>
    <row r="611" spans="8:8">
      <c r="H611">
        <v>0.97784917595454546</v>
      </c>
    </row>
    <row r="612" spans="8:8">
      <c r="H612">
        <v>0.9778718673818183</v>
      </c>
    </row>
    <row r="613" spans="8:8">
      <c r="H613">
        <v>0.97789205502727283</v>
      </c>
    </row>
    <row r="614" spans="8:8">
      <c r="H614">
        <v>0.97790032076363631</v>
      </c>
    </row>
    <row r="615" spans="8:8">
      <c r="H615">
        <v>0.97791679253636365</v>
      </c>
    </row>
    <row r="616" spans="8:8">
      <c r="H616">
        <v>0.97793119832727282</v>
      </c>
    </row>
    <row r="617" spans="8:8">
      <c r="H617">
        <v>0.97796783875000004</v>
      </c>
    </row>
    <row r="618" spans="8:8">
      <c r="H618">
        <v>0.97801196971363635</v>
      </c>
    </row>
    <row r="619" spans="8:8">
      <c r="H619">
        <v>0.97805153815000001</v>
      </c>
    </row>
    <row r="620" spans="8:8">
      <c r="H620">
        <v>0.97808298286363626</v>
      </c>
    </row>
    <row r="621" spans="8:8">
      <c r="H621">
        <v>0.9781226652727274</v>
      </c>
    </row>
    <row r="622" spans="8:8">
      <c r="H622">
        <v>0.97814364801363651</v>
      </c>
    </row>
    <row r="623" spans="8:8">
      <c r="H623">
        <v>0.97818050733636353</v>
      </c>
    </row>
    <row r="624" spans="8:8">
      <c r="H624">
        <v>0.97823136450000003</v>
      </c>
    </row>
    <row r="625" spans="8:8">
      <c r="H625">
        <v>0.97826366672272713</v>
      </c>
    </row>
    <row r="626" spans="8:8">
      <c r="H626">
        <v>0.97830379235909082</v>
      </c>
    </row>
    <row r="627" spans="8:8">
      <c r="H627">
        <v>0.97833249629999997</v>
      </c>
    </row>
    <row r="628" spans="8:8">
      <c r="H628">
        <v>0.97834236941363628</v>
      </c>
    </row>
    <row r="629" spans="8:8">
      <c r="H629">
        <v>0.9783339915136362</v>
      </c>
    </row>
    <row r="630" spans="8:8">
      <c r="H630">
        <v>0.9783285506727275</v>
      </c>
    </row>
    <row r="631" spans="8:8">
      <c r="H631">
        <v>0.97833228463636357</v>
      </c>
    </row>
    <row r="632" spans="8:8">
      <c r="H632">
        <v>0.97830591080454521</v>
      </c>
    </row>
    <row r="633" spans="8:8">
      <c r="H633">
        <v>0.97827335440454544</v>
      </c>
    </row>
    <row r="634" spans="8:8">
      <c r="H634">
        <v>0.97825419341818176</v>
      </c>
    </row>
    <row r="635" spans="8:8">
      <c r="H635">
        <v>0.97821060608636368</v>
      </c>
    </row>
    <row r="636" spans="8:8">
      <c r="H636">
        <v>0.97819953083181832</v>
      </c>
    </row>
    <row r="637" spans="8:8">
      <c r="H637">
        <v>0.97817222893636357</v>
      </c>
    </row>
    <row r="638" spans="8:8">
      <c r="H638">
        <v>0.97817774847272732</v>
      </c>
    </row>
    <row r="639" spans="8:8">
      <c r="H639">
        <v>0.97819836758636358</v>
      </c>
    </row>
    <row r="640" spans="8:8">
      <c r="H640">
        <v>0.97822564415454549</v>
      </c>
    </row>
    <row r="641" spans="8:8">
      <c r="H641">
        <v>0.97829194462272728</v>
      </c>
    </row>
    <row r="642" spans="8:8">
      <c r="H642">
        <v>0.97834638559545473</v>
      </c>
    </row>
    <row r="643" spans="8:8">
      <c r="H643">
        <v>0.97841444359545449</v>
      </c>
    </row>
    <row r="644" spans="8:8">
      <c r="H644">
        <v>0.97850715860000004</v>
      </c>
    </row>
    <row r="645" spans="8:8">
      <c r="H645">
        <v>0.97856991144090899</v>
      </c>
    </row>
    <row r="646" spans="8:8">
      <c r="H646">
        <v>0.97865877398636358</v>
      </c>
    </row>
    <row r="647" spans="8:8">
      <c r="H647">
        <v>0.97873446001818176</v>
      </c>
    </row>
    <row r="648" spans="8:8">
      <c r="H648">
        <v>0.97880960875</v>
      </c>
    </row>
    <row r="649" spans="8:8">
      <c r="H649">
        <v>0.97885214319090919</v>
      </c>
    </row>
    <row r="650" spans="8:8">
      <c r="H650">
        <v>0.97890864471818173</v>
      </c>
    </row>
    <row r="651" spans="8:8">
      <c r="H651">
        <v>0.97894754559999997</v>
      </c>
    </row>
    <row r="652" spans="8:8">
      <c r="H652">
        <v>0.97896202646818165</v>
      </c>
    </row>
    <row r="653" spans="8:8">
      <c r="H653">
        <v>0.97897241698181803</v>
      </c>
    </row>
    <row r="654" spans="8:8">
      <c r="H654">
        <v>0.97900381827727267</v>
      </c>
    </row>
    <row r="655" spans="8:8">
      <c r="H655">
        <v>0.97904180918636352</v>
      </c>
    </row>
    <row r="656" spans="8:8">
      <c r="H656">
        <v>0.97907641438181814</v>
      </c>
    </row>
    <row r="657" spans="8:8">
      <c r="H657">
        <v>0.97911140400909091</v>
      </c>
    </row>
    <row r="658" spans="8:8">
      <c r="H658">
        <v>0.97912988115909083</v>
      </c>
    </row>
    <row r="659" spans="8:8">
      <c r="H659">
        <v>0.97916863460000014</v>
      </c>
    </row>
    <row r="660" spans="8:8">
      <c r="H660">
        <v>0.97921680345454543</v>
      </c>
    </row>
    <row r="661" spans="8:8">
      <c r="H661">
        <v>0.97923390388636344</v>
      </c>
    </row>
    <row r="662" spans="8:8">
      <c r="H662">
        <v>0.97926489270909101</v>
      </c>
    </row>
    <row r="663" spans="8:8">
      <c r="H663">
        <v>0.97929336418181823</v>
      </c>
    </row>
    <row r="664" spans="8:8">
      <c r="H664">
        <v>0.97934196812272734</v>
      </c>
    </row>
    <row r="665" spans="8:8">
      <c r="H665">
        <v>0.97937314418636379</v>
      </c>
    </row>
    <row r="666" spans="8:8">
      <c r="H666">
        <v>0.97938238683181822</v>
      </c>
    </row>
    <row r="667" spans="8:8">
      <c r="H667">
        <v>0.97940254372272717</v>
      </c>
    </row>
    <row r="668" spans="8:8">
      <c r="H668">
        <v>0.97942418225909078</v>
      </c>
    </row>
    <row r="669" spans="8:8">
      <c r="H669">
        <v>0.97946247619090909</v>
      </c>
    </row>
    <row r="670" spans="8:8">
      <c r="H670">
        <v>0.9794808466045456</v>
      </c>
    </row>
    <row r="671" spans="8:8">
      <c r="H671">
        <v>0.97948966139999993</v>
      </c>
    </row>
    <row r="672" spans="8:8">
      <c r="H672">
        <v>0.97952888249090919</v>
      </c>
    </row>
    <row r="673" spans="8:8">
      <c r="H673">
        <v>0.9795627938999999</v>
      </c>
    </row>
    <row r="674" spans="8:8">
      <c r="H674">
        <v>0.97958681048636365</v>
      </c>
    </row>
    <row r="675" spans="8:8">
      <c r="H675">
        <v>0.97960590905909084</v>
      </c>
    </row>
    <row r="676" spans="8:8">
      <c r="H676">
        <v>0.97961214409090902</v>
      </c>
    </row>
    <row r="677" spans="8:8">
      <c r="H677">
        <v>0.97964006831363637</v>
      </c>
    </row>
    <row r="678" spans="8:8">
      <c r="H678">
        <v>0.97966443405454551</v>
      </c>
    </row>
    <row r="679" spans="8:8">
      <c r="H679">
        <v>0.97967316020454531</v>
      </c>
    </row>
    <row r="680" spans="8:8">
      <c r="H680">
        <v>0.97968476552272732</v>
      </c>
    </row>
    <row r="681" spans="8:8">
      <c r="H681">
        <v>0.97970351855909088</v>
      </c>
    </row>
    <row r="682" spans="8:8">
      <c r="H682">
        <v>0.97972264698181799</v>
      </c>
    </row>
    <row r="683" spans="8:8">
      <c r="H683">
        <v>0.97972050954090906</v>
      </c>
    </row>
    <row r="684" spans="8:8">
      <c r="H684">
        <v>0.97973808485909075</v>
      </c>
    </row>
    <row r="685" spans="8:8">
      <c r="H685">
        <v>0.97974643743181788</v>
      </c>
    </row>
    <row r="686" spans="8:8">
      <c r="H686">
        <v>0.97975633406363627</v>
      </c>
    </row>
    <row r="687" spans="8:8">
      <c r="H687">
        <v>0.97978765123636369</v>
      </c>
    </row>
    <row r="688" spans="8:8">
      <c r="H688">
        <v>0.9798077800863636</v>
      </c>
    </row>
    <row r="689" spans="8:8">
      <c r="H689">
        <v>0.97983245880000014</v>
      </c>
    </row>
    <row r="690" spans="8:8">
      <c r="H690">
        <v>0.97986957591818191</v>
      </c>
    </row>
    <row r="691" spans="8:8">
      <c r="H691">
        <v>0.97989505967727253</v>
      </c>
    </row>
    <row r="692" spans="8:8">
      <c r="H692">
        <v>0.97990817920454543</v>
      </c>
    </row>
    <row r="693" spans="8:8">
      <c r="H693">
        <v>0.97992070444545465</v>
      </c>
    </row>
    <row r="694" spans="8:8">
      <c r="H694">
        <v>0.97996019509090915</v>
      </c>
    </row>
    <row r="695" spans="8:8">
      <c r="H695">
        <v>0.97998919662727291</v>
      </c>
    </row>
    <row r="696" spans="8:8">
      <c r="H696">
        <v>0.98002031751363627</v>
      </c>
    </row>
    <row r="697" spans="8:8">
      <c r="H697">
        <v>0.98004843259545449</v>
      </c>
    </row>
    <row r="698" spans="8:8">
      <c r="H698">
        <v>0.98007748388181792</v>
      </c>
    </row>
    <row r="699" spans="8:8">
      <c r="H699">
        <v>0.9800944766727272</v>
      </c>
    </row>
    <row r="700" spans="8:8">
      <c r="H700">
        <v>0.98010902628636354</v>
      </c>
    </row>
    <row r="701" spans="8:8">
      <c r="H701">
        <v>0.98012846135000009</v>
      </c>
    </row>
    <row r="702" spans="8:8">
      <c r="H702">
        <v>0.98015897619090919</v>
      </c>
    </row>
    <row r="703" spans="8:8">
      <c r="H703">
        <v>0.98019519328636362</v>
      </c>
    </row>
    <row r="704" spans="8:8">
      <c r="H704">
        <v>0.98023819718636374</v>
      </c>
    </row>
    <row r="705" spans="8:8">
      <c r="H705">
        <v>0.98026482248181823</v>
      </c>
    </row>
    <row r="706" spans="8:8">
      <c r="H706">
        <v>0.98027365175000003</v>
      </c>
    </row>
    <row r="707" spans="8:8">
      <c r="H707">
        <v>0.98028864549545447</v>
      </c>
    </row>
    <row r="708" spans="8:8">
      <c r="H708">
        <v>0.9803117132136363</v>
      </c>
    </row>
    <row r="709" spans="8:8">
      <c r="H709">
        <v>0.98032563597727262</v>
      </c>
    </row>
    <row r="710" spans="8:8">
      <c r="H710">
        <v>0.98036074229090897</v>
      </c>
    </row>
    <row r="711" spans="8:8">
      <c r="H711">
        <v>0.9803938088545453</v>
      </c>
    </row>
    <row r="712" spans="8:8">
      <c r="H712">
        <v>0.98041518688181806</v>
      </c>
    </row>
    <row r="713" spans="8:8">
      <c r="H713">
        <v>0.98042932492727264</v>
      </c>
    </row>
    <row r="714" spans="8:8">
      <c r="H714">
        <v>0.98043953634090897</v>
      </c>
    </row>
    <row r="715" spans="8:8">
      <c r="H715">
        <v>0.98044866682272713</v>
      </c>
    </row>
    <row r="716" spans="8:8">
      <c r="H716">
        <v>0.98044655380454526</v>
      </c>
    </row>
    <row r="717" spans="8:8">
      <c r="H717">
        <v>0.98046096864090915</v>
      </c>
    </row>
    <row r="718" spans="8:8">
      <c r="H718">
        <v>0.98048794490000024</v>
      </c>
    </row>
    <row r="719" spans="8:8">
      <c r="H719">
        <v>0.9805016053454545</v>
      </c>
    </row>
    <row r="720" spans="8:8">
      <c r="H720">
        <v>0.98050538724999992</v>
      </c>
    </row>
    <row r="721" spans="8:8">
      <c r="H721">
        <v>0.98050952645000011</v>
      </c>
    </row>
    <row r="722" spans="8:8">
      <c r="H722">
        <v>0.98052656718181808</v>
      </c>
    </row>
    <row r="723" spans="8:8">
      <c r="H723">
        <v>0.98053663929545454</v>
      </c>
    </row>
    <row r="724" spans="8:8">
      <c r="H724">
        <v>0.9805475363545455</v>
      </c>
    </row>
    <row r="725" spans="8:8">
      <c r="H725">
        <v>0.9805723652227275</v>
      </c>
    </row>
    <row r="726" spans="8:8">
      <c r="H726">
        <v>0.98059646774090903</v>
      </c>
    </row>
    <row r="727" spans="8:8">
      <c r="H727">
        <v>0.98062808070000007</v>
      </c>
    </row>
    <row r="728" spans="8:8">
      <c r="H728">
        <v>0.98066488484545455</v>
      </c>
    </row>
    <row r="729" spans="8:8">
      <c r="H729">
        <v>0.98068972095000007</v>
      </c>
    </row>
    <row r="730" spans="8:8">
      <c r="H730">
        <v>0.9807266209772727</v>
      </c>
    </row>
    <row r="731" spans="8:8">
      <c r="H731">
        <v>0.98077690194545464</v>
      </c>
    </row>
    <row r="732" spans="8:8">
      <c r="H732">
        <v>0.98080973061363641</v>
      </c>
    </row>
    <row r="733" spans="8:8">
      <c r="H733">
        <v>0.98082327256363644</v>
      </c>
    </row>
    <row r="734" spans="8:8">
      <c r="H734">
        <v>0.98083761865454533</v>
      </c>
    </row>
    <row r="735" spans="8:8">
      <c r="H735">
        <v>0.98085438621363641</v>
      </c>
    </row>
    <row r="736" spans="8:8">
      <c r="H736">
        <v>0.98087017053181791</v>
      </c>
    </row>
    <row r="737" spans="8:8">
      <c r="H737">
        <v>0.98089267290909077</v>
      </c>
    </row>
    <row r="738" spans="8:8">
      <c r="H738">
        <v>0.98090839300454535</v>
      </c>
    </row>
    <row r="739" spans="8:8">
      <c r="H739">
        <v>0.98091506312272725</v>
      </c>
    </row>
    <row r="740" spans="8:8">
      <c r="H740">
        <v>0.9809234202181818</v>
      </c>
    </row>
    <row r="741" spans="8:8">
      <c r="H741">
        <v>0.98093177912272722</v>
      </c>
    </row>
    <row r="742" spans="8:8">
      <c r="H742">
        <v>0.98094213074090897</v>
      </c>
    </row>
    <row r="743" spans="8:8">
      <c r="H743">
        <v>0.98095811496363627</v>
      </c>
    </row>
    <row r="744" spans="8:8">
      <c r="H744">
        <v>0.98098853844545442</v>
      </c>
    </row>
    <row r="745" spans="8:8">
      <c r="H745">
        <v>0.98102267146818189</v>
      </c>
    </row>
    <row r="746" spans="8:8">
      <c r="H746">
        <v>0.98104700193181826</v>
      </c>
    </row>
    <row r="747" spans="8:8">
      <c r="H747">
        <v>0.98105849508636367</v>
      </c>
    </row>
    <row r="748" spans="8:8">
      <c r="H748">
        <v>0.98106243438181839</v>
      </c>
    </row>
    <row r="749" spans="8:8">
      <c r="H749">
        <v>0.98107139119090914</v>
      </c>
    </row>
    <row r="750" spans="8:8">
      <c r="H750">
        <v>0.98108137104090942</v>
      </c>
    </row>
    <row r="751" spans="8:8">
      <c r="H751">
        <v>0.98108786025000028</v>
      </c>
    </row>
    <row r="752" spans="8:8">
      <c r="H752">
        <v>0.98109205643636388</v>
      </c>
    </row>
    <row r="753" spans="8:8">
      <c r="H753">
        <v>0.98109174346363648</v>
      </c>
    </row>
    <row r="754" spans="8:8">
      <c r="H754">
        <v>0.98109725666818193</v>
      </c>
    </row>
    <row r="755" spans="8:8">
      <c r="H755">
        <v>0.98110795834545439</v>
      </c>
    </row>
    <row r="756" spans="8:8">
      <c r="H756">
        <v>0.98111804764545441</v>
      </c>
    </row>
    <row r="757" spans="8:8">
      <c r="H757">
        <v>0.98112703159090908</v>
      </c>
    </row>
    <row r="758" spans="8:8">
      <c r="H758">
        <v>0.98114617900909085</v>
      </c>
    </row>
    <row r="759" spans="8:8">
      <c r="H759">
        <v>0.9811695624136364</v>
      </c>
    </row>
    <row r="760" spans="8:8">
      <c r="H760">
        <v>0.98119486164545444</v>
      </c>
    </row>
    <row r="761" spans="8:8">
      <c r="H761">
        <v>0.9812215511636363</v>
      </c>
    </row>
    <row r="762" spans="8:8">
      <c r="H762">
        <v>0.98124897155454549</v>
      </c>
    </row>
    <row r="763" spans="8:8">
      <c r="H763">
        <v>0.98127677909090916</v>
      </c>
    </row>
    <row r="764" spans="8:8">
      <c r="H764">
        <v>0.98130182233636376</v>
      </c>
    </row>
    <row r="765" spans="8:8">
      <c r="H765">
        <v>0.98132383264090917</v>
      </c>
    </row>
    <row r="766" spans="8:8">
      <c r="H766">
        <v>0.98133375098181796</v>
      </c>
    </row>
    <row r="767" spans="8:8">
      <c r="H767">
        <v>0.98135039009545466</v>
      </c>
    </row>
    <row r="768" spans="8:8">
      <c r="H768">
        <v>0.98136974194090909</v>
      </c>
    </row>
    <row r="769" spans="8:8">
      <c r="H769">
        <v>0.98139642603181831</v>
      </c>
    </row>
    <row r="770" spans="8:8">
      <c r="H770">
        <v>0.98141638573181822</v>
      </c>
    </row>
    <row r="771" spans="8:8">
      <c r="H771">
        <v>0.98142258910454527</v>
      </c>
    </row>
    <row r="772" spans="8:8">
      <c r="H772">
        <v>0.98143416004999995</v>
      </c>
    </row>
    <row r="773" spans="8:8">
      <c r="H773">
        <v>0.98145122610909086</v>
      </c>
    </row>
    <row r="774" spans="8:8">
      <c r="H774">
        <v>0.98145715449999993</v>
      </c>
    </row>
    <row r="775" spans="8:8">
      <c r="H775">
        <v>0.98147233186818184</v>
      </c>
    </row>
    <row r="776" spans="8:8">
      <c r="H776">
        <v>0.9814930115863636</v>
      </c>
    </row>
    <row r="777" spans="8:8">
      <c r="H777">
        <v>0.98150729345454535</v>
      </c>
    </row>
    <row r="778" spans="8:8">
      <c r="H778">
        <v>0.98151583779090901</v>
      </c>
    </row>
    <row r="779" spans="8:8">
      <c r="H779">
        <v>0.98153122230000023</v>
      </c>
    </row>
    <row r="780" spans="8:8">
      <c r="H780">
        <v>0.98154382804545448</v>
      </c>
    </row>
    <row r="781" spans="8:8">
      <c r="H781">
        <v>0.98155340989545448</v>
      </c>
    </row>
    <row r="782" spans="8:8">
      <c r="H782">
        <v>0.98158312511818191</v>
      </c>
    </row>
    <row r="783" spans="8:8">
      <c r="H783">
        <v>0.98161007876363626</v>
      </c>
    </row>
    <row r="784" spans="8:8">
      <c r="H784">
        <v>0.98163113205909114</v>
      </c>
    </row>
    <row r="785" spans="8:8">
      <c r="H785">
        <v>0.9816537882090911</v>
      </c>
    </row>
    <row r="786" spans="8:8">
      <c r="H786">
        <v>0.98168105301818187</v>
      </c>
    </row>
    <row r="787" spans="8:8">
      <c r="H787">
        <v>0.98168669738181824</v>
      </c>
    </row>
    <row r="788" spans="8:8">
      <c r="H788">
        <v>0.9817037896727272</v>
      </c>
    </row>
    <row r="789" spans="8:8">
      <c r="H789">
        <v>0.98171973138181812</v>
      </c>
    </row>
    <row r="790" spans="8:8">
      <c r="H790">
        <v>0.98173424662272735</v>
      </c>
    </row>
    <row r="791" spans="8:8">
      <c r="H791">
        <v>0.98174270683636355</v>
      </c>
    </row>
    <row r="792" spans="8:8">
      <c r="H792">
        <v>0.98176468276818174</v>
      </c>
    </row>
    <row r="793" spans="8:8">
      <c r="H793">
        <v>0.98176778807272713</v>
      </c>
    </row>
    <row r="794" spans="8:8">
      <c r="H794">
        <v>0.98177474493181816</v>
      </c>
    </row>
    <row r="795" spans="8:8">
      <c r="H795">
        <v>0.9817769836818182</v>
      </c>
    </row>
    <row r="796" spans="8:8">
      <c r="H796">
        <v>0.9817972853000001</v>
      </c>
    </row>
    <row r="797" spans="8:8">
      <c r="H797">
        <v>0.98179886101818181</v>
      </c>
    </row>
    <row r="798" spans="8:8">
      <c r="H798">
        <v>0.9818123866863635</v>
      </c>
    </row>
    <row r="799" spans="8:8">
      <c r="H799">
        <v>0.98182730806818197</v>
      </c>
    </row>
    <row r="800" spans="8:8">
      <c r="H800">
        <v>0.98185197773636379</v>
      </c>
    </row>
    <row r="801" spans="8:8">
      <c r="H801">
        <v>0.98186525375</v>
      </c>
    </row>
    <row r="802" spans="8:8">
      <c r="H802">
        <v>0.98188299279090896</v>
      </c>
    </row>
    <row r="803" spans="8:8">
      <c r="H803">
        <v>0.98189743476363645</v>
      </c>
    </row>
    <row r="804" spans="8:8">
      <c r="H804">
        <v>0.98191481650909085</v>
      </c>
    </row>
    <row r="805" spans="8:8">
      <c r="H805">
        <v>0.98192273037727273</v>
      </c>
    </row>
    <row r="806" spans="8:8">
      <c r="H806">
        <v>0.98195456223636379</v>
      </c>
    </row>
    <row r="807" spans="8:8">
      <c r="H807">
        <v>0.98197464585909122</v>
      </c>
    </row>
    <row r="808" spans="8:8">
      <c r="H808">
        <v>0.9819998112181817</v>
      </c>
    </row>
    <row r="809" spans="8:8">
      <c r="H809">
        <v>0.98202163428181821</v>
      </c>
    </row>
    <row r="810" spans="8:8">
      <c r="H810">
        <v>0.98203808705909079</v>
      </c>
    </row>
    <row r="811" spans="8:8">
      <c r="H811">
        <v>0.9820514616681818</v>
      </c>
    </row>
    <row r="812" spans="8:8">
      <c r="H812">
        <v>0.98206553006363617</v>
      </c>
    </row>
    <row r="813" spans="8:8">
      <c r="H813">
        <v>0.98207114457727274</v>
      </c>
    </row>
    <row r="814" spans="8:8">
      <c r="H814">
        <v>0.982075988418182</v>
      </c>
    </row>
    <row r="815" spans="8:8">
      <c r="H815">
        <v>0.982091781781818</v>
      </c>
    </row>
    <row r="816" spans="8:8">
      <c r="H816">
        <v>0.98211129825454546</v>
      </c>
    </row>
    <row r="817" spans="8:8">
      <c r="H817">
        <v>0.98210207822272733</v>
      </c>
    </row>
    <row r="818" spans="8:8">
      <c r="H818">
        <v>0.98209597525454539</v>
      </c>
    </row>
    <row r="819" spans="8:8">
      <c r="H819">
        <v>0.98209545152272726</v>
      </c>
    </row>
    <row r="820" spans="8:8">
      <c r="H820">
        <v>0.98209912035909086</v>
      </c>
    </row>
    <row r="821" spans="8:8">
      <c r="H821">
        <v>0.98210731735000012</v>
      </c>
    </row>
    <row r="822" spans="8:8">
      <c r="H822">
        <v>0.98212270728636364</v>
      </c>
    </row>
    <row r="823" spans="8:8">
      <c r="H823">
        <v>0.98214076563181818</v>
      </c>
    </row>
    <row r="824" spans="8:8">
      <c r="H824">
        <v>0.98215107473636354</v>
      </c>
    </row>
    <row r="825" spans="8:8">
      <c r="H825">
        <v>0.98216425939090912</v>
      </c>
    </row>
    <row r="826" spans="8:8">
      <c r="H826">
        <v>0.98216820954090933</v>
      </c>
    </row>
    <row r="827" spans="8:8">
      <c r="H827">
        <v>0.98218441809090906</v>
      </c>
    </row>
    <row r="828" spans="8:8">
      <c r="H828">
        <v>0.9822224831727272</v>
      </c>
    </row>
    <row r="829" spans="8:8">
      <c r="H829">
        <v>0.98222546817272727</v>
      </c>
    </row>
    <row r="830" spans="8:8">
      <c r="H830">
        <v>0.98220396622272699</v>
      </c>
    </row>
    <row r="831" spans="8:8">
      <c r="H831">
        <v>0.98218365194090917</v>
      </c>
    </row>
    <row r="832" spans="8:8">
      <c r="H832">
        <v>0.98214375515454533</v>
      </c>
    </row>
    <row r="833" spans="8:8">
      <c r="H833">
        <v>0.98208967147727266</v>
      </c>
    </row>
    <row r="834" spans="8:8">
      <c r="H834">
        <v>0.98204349533636359</v>
      </c>
    </row>
    <row r="835" spans="8:8">
      <c r="H835">
        <v>0.98201839329545448</v>
      </c>
    </row>
    <row r="836" spans="8:8">
      <c r="H836">
        <v>0.98199099642272725</v>
      </c>
    </row>
    <row r="837" spans="8:8">
      <c r="H837">
        <v>0.98198321280909073</v>
      </c>
    </row>
    <row r="838" spans="8:8">
      <c r="H838">
        <v>0.98191279304090895</v>
      </c>
    </row>
    <row r="839" spans="8:8">
      <c r="H839">
        <v>0.98186617910000007</v>
      </c>
    </row>
    <row r="840" spans="8:8">
      <c r="H840">
        <v>0.98184697559999989</v>
      </c>
    </row>
    <row r="841" spans="8:8">
      <c r="H841">
        <v>0.98183853799999998</v>
      </c>
    </row>
    <row r="842" spans="8:8">
      <c r="H842">
        <v>0.98185385466818209</v>
      </c>
    </row>
    <row r="843" spans="8:8">
      <c r="H843">
        <v>0.98187932304999992</v>
      </c>
    </row>
    <row r="844" spans="8:8">
      <c r="H844">
        <v>0.98188954441363652</v>
      </c>
    </row>
    <row r="845" spans="8:8">
      <c r="H845">
        <v>0.98189701776818172</v>
      </c>
    </row>
    <row r="846" spans="8:8">
      <c r="H846">
        <v>0.9818901414136364</v>
      </c>
    </row>
    <row r="847" spans="8:8">
      <c r="H847">
        <v>0.98188466167727284</v>
      </c>
    </row>
    <row r="848" spans="8:8">
      <c r="H848">
        <v>0.9818580472363635</v>
      </c>
    </row>
    <row r="849" spans="8:8">
      <c r="H849">
        <v>0.98190107917727276</v>
      </c>
    </row>
    <row r="850" spans="8:8">
      <c r="H850">
        <v>0.9818954999409093</v>
      </c>
    </row>
    <row r="851" spans="8:8">
      <c r="H851">
        <v>0.98189151541818209</v>
      </c>
    </row>
    <row r="852" spans="8:8">
      <c r="H852">
        <v>0.98190318495909101</v>
      </c>
    </row>
    <row r="853" spans="8:8">
      <c r="H853">
        <v>0.98189115450454534</v>
      </c>
    </row>
    <row r="854" spans="8:8">
      <c r="H854">
        <v>0.9818815219999999</v>
      </c>
    </row>
    <row r="855" spans="8:8">
      <c r="H855">
        <v>0.98188445905909094</v>
      </c>
    </row>
    <row r="856" spans="8:8">
      <c r="H856">
        <v>0.98187978074999993</v>
      </c>
    </row>
    <row r="857" spans="8:8">
      <c r="H857">
        <v>0.98188027553636359</v>
      </c>
    </row>
    <row r="858" spans="8:8">
      <c r="H858">
        <v>0.98189047519090922</v>
      </c>
    </row>
    <row r="859" spans="8:8">
      <c r="H859">
        <v>0.98190583527727282</v>
      </c>
    </row>
    <row r="860" spans="8:8">
      <c r="H860">
        <v>0.98190210764545438</v>
      </c>
    </row>
    <row r="861" spans="8:8">
      <c r="H861">
        <v>0.98190880851818196</v>
      </c>
    </row>
    <row r="862" spans="8:8">
      <c r="H862">
        <v>0.9819207286181818</v>
      </c>
    </row>
    <row r="863" spans="8:8">
      <c r="H863">
        <v>0.98193660700909102</v>
      </c>
    </row>
    <row r="864" spans="8:8">
      <c r="H864">
        <v>0.98195019056818178</v>
      </c>
    </row>
    <row r="865" spans="8:8">
      <c r="H865">
        <v>0.98197412303181819</v>
      </c>
    </row>
    <row r="866" spans="8:8">
      <c r="H866">
        <v>0.98200690828181825</v>
      </c>
    </row>
    <row r="867" spans="8:8">
      <c r="H867">
        <v>0.98203074305454541</v>
      </c>
    </row>
    <row r="868" spans="8:8">
      <c r="H868">
        <v>0.98205981243181806</v>
      </c>
    </row>
    <row r="869" spans="8:8">
      <c r="H869">
        <v>0.98207574871363634</v>
      </c>
    </row>
    <row r="870" spans="8:8">
      <c r="H870">
        <v>0.98208318950454521</v>
      </c>
    </row>
    <row r="871" spans="8:8">
      <c r="H871">
        <v>0.98209383057727284</v>
      </c>
    </row>
    <row r="872" spans="8:8">
      <c r="H872">
        <v>0.98209090346818173</v>
      </c>
    </row>
    <row r="873" spans="8:8">
      <c r="H873">
        <v>0.98208336498636339</v>
      </c>
    </row>
    <row r="874" spans="8:8">
      <c r="H874">
        <v>0.98208090824090921</v>
      </c>
    </row>
    <row r="875" spans="8:8">
      <c r="H875">
        <v>0.98207878346363653</v>
      </c>
    </row>
    <row r="876" spans="8:8">
      <c r="H876">
        <v>0.98205889884090924</v>
      </c>
    </row>
    <row r="877" spans="8:8">
      <c r="H877">
        <v>0.98203574519090919</v>
      </c>
    </row>
    <row r="878" spans="8:8">
      <c r="H878">
        <v>0.98202501909090911</v>
      </c>
    </row>
    <row r="879" spans="8:8">
      <c r="H879">
        <v>0.9820076644818182</v>
      </c>
    </row>
    <row r="880" spans="8:8">
      <c r="H880">
        <v>0.982001278390909</v>
      </c>
    </row>
    <row r="881" spans="8:8">
      <c r="H881">
        <v>0.98199866787272738</v>
      </c>
    </row>
    <row r="882" spans="8:8">
      <c r="H882">
        <v>0.98199421208181814</v>
      </c>
    </row>
    <row r="883" spans="8:8">
      <c r="H883">
        <v>0.98201810836363634</v>
      </c>
    </row>
    <row r="884" spans="8:8">
      <c r="H884">
        <v>0.98203214690909102</v>
      </c>
    </row>
    <row r="885" spans="8:8">
      <c r="H885">
        <v>0.98202926140909097</v>
      </c>
    </row>
    <row r="886" spans="8:8">
      <c r="H886">
        <v>0.98203866868181811</v>
      </c>
    </row>
    <row r="887" spans="8:8">
      <c r="H887">
        <v>0.98205535573636382</v>
      </c>
    </row>
    <row r="888" spans="8:8">
      <c r="H888">
        <v>0.98206059757727293</v>
      </c>
    </row>
    <row r="889" spans="8:8">
      <c r="H889">
        <v>0.98207447149545457</v>
      </c>
    </row>
    <row r="890" spans="8:8">
      <c r="H890">
        <v>0.98209829993636366</v>
      </c>
    </row>
    <row r="891" spans="8:8">
      <c r="H891">
        <v>0.9821175206227275</v>
      </c>
    </row>
    <row r="892" spans="8:8">
      <c r="H892">
        <v>0.98213773450000008</v>
      </c>
    </row>
    <row r="893" spans="8:8">
      <c r="H893">
        <v>0.98215327639999983</v>
      </c>
    </row>
    <row r="894" spans="8:8">
      <c r="H894">
        <v>0.982155819981818</v>
      </c>
    </row>
    <row r="895" spans="8:8">
      <c r="H895">
        <v>0.98216903448636361</v>
      </c>
    </row>
    <row r="896" spans="8:8">
      <c r="H896">
        <v>0.98218252849545451</v>
      </c>
    </row>
    <row r="897" spans="8:8">
      <c r="H897">
        <v>0.98219135233636368</v>
      </c>
    </row>
    <row r="898" spans="8:8">
      <c r="H898">
        <v>0.98221409713181795</v>
      </c>
    </row>
    <row r="899" spans="8:8">
      <c r="H899">
        <v>0.98227186773636377</v>
      </c>
    </row>
    <row r="900" spans="8:8">
      <c r="H900">
        <v>0.98232959944545462</v>
      </c>
    </row>
    <row r="901" spans="8:8">
      <c r="H901">
        <v>0.98238571111363637</v>
      </c>
    </row>
    <row r="902" spans="8:8">
      <c r="H902">
        <v>0.98244646490909104</v>
      </c>
    </row>
    <row r="903" spans="8:8">
      <c r="H903">
        <v>0.9825205327090909</v>
      </c>
    </row>
    <row r="904" spans="8:8">
      <c r="H904">
        <v>0.98258527012272723</v>
      </c>
    </row>
    <row r="905" spans="8:8">
      <c r="H905">
        <v>0.98265052493636373</v>
      </c>
    </row>
    <row r="906" spans="8:8">
      <c r="H906">
        <v>0.98271999945454569</v>
      </c>
    </row>
    <row r="907" spans="8:8">
      <c r="H907">
        <v>0.98279572799999992</v>
      </c>
    </row>
    <row r="908" spans="8:8">
      <c r="H908">
        <v>0.98286393796363658</v>
      </c>
    </row>
    <row r="909" spans="8:8">
      <c r="H909">
        <v>0.9829212255409091</v>
      </c>
    </row>
    <row r="910" spans="8:8">
      <c r="H910">
        <v>0.98295841140454532</v>
      </c>
    </row>
    <row r="911" spans="8:8">
      <c r="H911">
        <v>0.98298439175909069</v>
      </c>
    </row>
    <row r="912" spans="8:8">
      <c r="H912">
        <v>0.98300162606363639</v>
      </c>
    </row>
    <row r="913" spans="8:8">
      <c r="H913">
        <v>0.98302512072727277</v>
      </c>
    </row>
    <row r="914" spans="8:8">
      <c r="H914">
        <v>0.98303408386818192</v>
      </c>
    </row>
    <row r="915" spans="8:8">
      <c r="H915">
        <v>0.98304777778181818</v>
      </c>
    </row>
    <row r="916" spans="8:8">
      <c r="H916">
        <v>0.98306611653636378</v>
      </c>
    </row>
    <row r="917" spans="8:8">
      <c r="H917">
        <v>0.98308090585454555</v>
      </c>
    </row>
    <row r="918" spans="8:8">
      <c r="H918">
        <v>0.98309259258181825</v>
      </c>
    </row>
    <row r="919" spans="8:8">
      <c r="H919">
        <v>0.98311326415909084</v>
      </c>
    </row>
    <row r="920" spans="8:8">
      <c r="H920">
        <v>0.9831261512181817</v>
      </c>
    </row>
    <row r="921" spans="8:8">
      <c r="H921">
        <v>0.98313017554090909</v>
      </c>
    </row>
    <row r="922" spans="8:8">
      <c r="H922">
        <v>0.98313755482272724</v>
      </c>
    </row>
    <row r="923" spans="8:8">
      <c r="H923">
        <v>0.9831387479181819</v>
      </c>
    </row>
    <row r="924" spans="8:8">
      <c r="H924">
        <v>0.98312502415454528</v>
      </c>
    </row>
    <row r="925" spans="8:8">
      <c r="H925">
        <v>0.9831274103454547</v>
      </c>
    </row>
    <row r="926" spans="8:8">
      <c r="H926">
        <v>0.98313338577272713</v>
      </c>
    </row>
    <row r="927" spans="8:8">
      <c r="H927">
        <v>0.98313573125909104</v>
      </c>
    </row>
    <row r="928" spans="8:8">
      <c r="H928">
        <v>0.98314102737272735</v>
      </c>
    </row>
    <row r="929" spans="8:8">
      <c r="H929">
        <v>0.98314695576363642</v>
      </c>
    </row>
    <row r="930" spans="8:8">
      <c r="H930">
        <v>0.98314237243181835</v>
      </c>
    </row>
    <row r="931" spans="8:8">
      <c r="H931">
        <v>0.98313825222727269</v>
      </c>
    </row>
    <row r="932" spans="8:8">
      <c r="H932">
        <v>0.98315435132727291</v>
      </c>
    </row>
    <row r="933" spans="8:8">
      <c r="H933">
        <v>0.98317689893181826</v>
      </c>
    </row>
    <row r="934" spans="8:8">
      <c r="H934">
        <v>0.98319534623181815</v>
      </c>
    </row>
    <row r="935" spans="8:8">
      <c r="H935">
        <v>0.98321109889090907</v>
      </c>
    </row>
    <row r="936" spans="8:8">
      <c r="H936">
        <v>0.98321014911818194</v>
      </c>
    </row>
    <row r="937" spans="8:8">
      <c r="H937">
        <v>0.98321242224090921</v>
      </c>
    </row>
    <row r="938" spans="8:8">
      <c r="H938">
        <v>0.98321727784090907</v>
      </c>
    </row>
    <row r="939" spans="8:8">
      <c r="H939">
        <v>0.98321381705000011</v>
      </c>
    </row>
    <row r="940" spans="8:8">
      <c r="H940">
        <v>0.98321842570909079</v>
      </c>
    </row>
    <row r="941" spans="8:8">
      <c r="H941">
        <v>0.98322118999999997</v>
      </c>
    </row>
    <row r="942" spans="8:8">
      <c r="H942">
        <v>0.98323121959999993</v>
      </c>
    </row>
    <row r="943" spans="8:8">
      <c r="H943">
        <v>0.98322659918181843</v>
      </c>
    </row>
    <row r="944" spans="8:8">
      <c r="H944">
        <v>0.9832139907227273</v>
      </c>
    </row>
    <row r="945" spans="8:8">
      <c r="H945">
        <v>0.98321825022727272</v>
      </c>
    </row>
    <row r="946" spans="8:8">
      <c r="H946">
        <v>0.98323101788636391</v>
      </c>
    </row>
    <row r="947" spans="8:8">
      <c r="H947">
        <v>0.98324688904090907</v>
      </c>
    </row>
    <row r="948" spans="8:8">
      <c r="H948">
        <v>0.9832499427863638</v>
      </c>
    </row>
    <row r="949" spans="8:8">
      <c r="H949">
        <v>0.98325025756818174</v>
      </c>
    </row>
    <row r="950" spans="8:8">
      <c r="H950">
        <v>0.98326221656363633</v>
      </c>
    </row>
    <row r="951" spans="8:8">
      <c r="H951">
        <v>0.98326835390454537</v>
      </c>
    </row>
    <row r="952" spans="8:8">
      <c r="H952">
        <v>0.98327384901818193</v>
      </c>
    </row>
    <row r="953" spans="8:8">
      <c r="H953">
        <v>0.98328194379545453</v>
      </c>
    </row>
    <row r="954" spans="8:8">
      <c r="H954">
        <v>0.98329185037727285</v>
      </c>
    </row>
    <row r="955" spans="8:8">
      <c r="H955">
        <v>0.98331016109090907</v>
      </c>
    </row>
    <row r="956" spans="8:8">
      <c r="H956">
        <v>0.98331951951818186</v>
      </c>
    </row>
    <row r="957" spans="8:8">
      <c r="H957">
        <v>0.98332159454545442</v>
      </c>
    </row>
    <row r="958" spans="8:8">
      <c r="H958">
        <v>0.98332840034545455</v>
      </c>
    </row>
    <row r="959" spans="8:8">
      <c r="H959">
        <v>0.98335250467272728</v>
      </c>
    </row>
    <row r="960" spans="8:8">
      <c r="H960">
        <v>0.98337846603181811</v>
      </c>
    </row>
    <row r="961" spans="8:8">
      <c r="H961">
        <v>0.98338573134090912</v>
      </c>
    </row>
    <row r="962" spans="8:8">
      <c r="H962">
        <v>0.98340730927272735</v>
      </c>
    </row>
    <row r="963" spans="8:8">
      <c r="H963">
        <v>0.98344072137272731</v>
      </c>
    </row>
    <row r="964" spans="8:8">
      <c r="H964">
        <v>0.98345758390909066</v>
      </c>
    </row>
    <row r="965" spans="8:8">
      <c r="H965">
        <v>0.9834825240363636</v>
      </c>
    </row>
    <row r="966" spans="8:8">
      <c r="H966">
        <v>0.98350171396818165</v>
      </c>
    </row>
    <row r="967" spans="8:8">
      <c r="H967">
        <v>0.98350917737272725</v>
      </c>
    </row>
    <row r="968" spans="8:8">
      <c r="H968">
        <v>0.98352197759545457</v>
      </c>
    </row>
    <row r="969" spans="8:8">
      <c r="H969">
        <v>0.98353806403181832</v>
      </c>
    </row>
    <row r="970" spans="8:8">
      <c r="H970">
        <v>0.98353441871363656</v>
      </c>
    </row>
    <row r="971" spans="8:8">
      <c r="H971">
        <v>0.98354395714545451</v>
      </c>
    </row>
    <row r="972" spans="8:8">
      <c r="H972">
        <v>0.9835645274136362</v>
      </c>
    </row>
    <row r="973" spans="8:8">
      <c r="H973">
        <v>0.98355559140909077</v>
      </c>
    </row>
    <row r="974" spans="8:8">
      <c r="H974">
        <v>0.98355851399545469</v>
      </c>
    </row>
    <row r="975" spans="8:8">
      <c r="H975">
        <v>0.98357383337727267</v>
      </c>
    </row>
    <row r="976" spans="8:8">
      <c r="H976">
        <v>0.9835615659318182</v>
      </c>
    </row>
    <row r="977" spans="8:8">
      <c r="H977">
        <v>0.98356106571818169</v>
      </c>
    </row>
    <row r="978" spans="8:8">
      <c r="H978">
        <v>0.98356649118181805</v>
      </c>
    </row>
    <row r="979" spans="8:8">
      <c r="H979">
        <v>0.98357767317272715</v>
      </c>
    </row>
    <row r="980" spans="8:8">
      <c r="H980">
        <v>0.98357475149090901</v>
      </c>
    </row>
    <row r="981" spans="8:8">
      <c r="H981">
        <v>0.98359877079090907</v>
      </c>
    </row>
    <row r="982" spans="8:8">
      <c r="H982">
        <v>0.98360526723636355</v>
      </c>
    </row>
    <row r="983" spans="8:8">
      <c r="H983">
        <v>0.9836149087863636</v>
      </c>
    </row>
    <row r="984" spans="8:8">
      <c r="H984">
        <v>0.98362923678636349</v>
      </c>
    </row>
    <row r="985" spans="8:8">
      <c r="H985">
        <v>0.98361501371363635</v>
      </c>
    </row>
    <row r="986" spans="8:8">
      <c r="H986">
        <v>0.98359447691363644</v>
      </c>
    </row>
    <row r="987" spans="8:8">
      <c r="H987">
        <v>0.98361206579999982</v>
      </c>
    </row>
    <row r="988" spans="8:8">
      <c r="H988">
        <v>0.98362752629090922</v>
      </c>
    </row>
    <row r="989" spans="8:8">
      <c r="H989">
        <v>0.98364517668636364</v>
      </c>
    </row>
    <row r="990" spans="8:8">
      <c r="H990">
        <v>0.98365689959545466</v>
      </c>
    </row>
    <row r="991" spans="8:8">
      <c r="H991">
        <v>0.9836679024863636</v>
      </c>
    </row>
    <row r="992" spans="8:8">
      <c r="H992">
        <v>0.98367135604090916</v>
      </c>
    </row>
    <row r="993" spans="8:8">
      <c r="H993">
        <v>0.98364576464090903</v>
      </c>
    </row>
    <row r="994" spans="8:8">
      <c r="H994">
        <v>0.98361868707272737</v>
      </c>
    </row>
    <row r="995" spans="8:8">
      <c r="H995">
        <v>0.98363882587272744</v>
      </c>
    </row>
    <row r="996" spans="8:8">
      <c r="H996">
        <v>0.98367507734090898</v>
      </c>
    </row>
    <row r="997" spans="8:8">
      <c r="H997">
        <v>0.98369635496363628</v>
      </c>
    </row>
    <row r="998" spans="8:8">
      <c r="H998">
        <v>0.98371054004545444</v>
      </c>
    </row>
    <row r="999" spans="8:8">
      <c r="H999">
        <v>0.98370711091363627</v>
      </c>
    </row>
    <row r="1000" spans="8:8">
      <c r="H1000">
        <v>0.98371906448181823</v>
      </c>
    </row>
    <row r="1001" spans="8:8">
      <c r="H1001">
        <v>0.98371480045454562</v>
      </c>
    </row>
    <row r="1002" spans="8:8">
      <c r="H1002">
        <v>0.98373187013181829</v>
      </c>
    </row>
    <row r="1003" spans="8:8">
      <c r="H1003">
        <v>0.98374408692272741</v>
      </c>
    </row>
    <row r="1004" spans="8:8">
      <c r="H1004">
        <v>0.98376718901363636</v>
      </c>
    </row>
    <row r="1005" spans="8:8">
      <c r="H1005">
        <v>0.98380325052727291</v>
      </c>
    </row>
    <row r="1006" spans="8:8">
      <c r="H1006">
        <v>0.98379144711363653</v>
      </c>
    </row>
    <row r="1007" spans="8:8">
      <c r="H1007">
        <v>0.98377661256818183</v>
      </c>
    </row>
    <row r="1008" spans="8:8">
      <c r="H1008">
        <v>0.98378755033181819</v>
      </c>
    </row>
    <row r="1009" spans="8:8">
      <c r="H1009">
        <v>0.98380539339545481</v>
      </c>
    </row>
    <row r="1010" spans="8:8">
      <c r="H1010">
        <v>0.98381486398636364</v>
      </c>
    </row>
    <row r="1011" spans="8:8">
      <c r="H1011">
        <v>0.98380438844545448</v>
      </c>
    </row>
    <row r="1012" spans="8:8">
      <c r="H1012">
        <v>0.98381994934090911</v>
      </c>
    </row>
    <row r="1013" spans="8:8">
      <c r="H1013">
        <v>0.98382463760000005</v>
      </c>
    </row>
    <row r="1014" spans="8:8">
      <c r="H1014">
        <v>0.98384268961363641</v>
      </c>
    </row>
    <row r="1015" spans="8:8">
      <c r="H1015">
        <v>0.9838809003272726</v>
      </c>
    </row>
    <row r="1016" spans="8:8">
      <c r="H1016">
        <v>0.98390073610454531</v>
      </c>
    </row>
    <row r="1017" spans="8:8">
      <c r="H1017">
        <v>0.98390111872727293</v>
      </c>
    </row>
    <row r="1018" spans="8:8">
      <c r="H1018">
        <v>0.98389027774999993</v>
      </c>
    </row>
    <row r="1019" spans="8:8">
      <c r="H1019">
        <v>0.98389863394090904</v>
      </c>
    </row>
    <row r="1020" spans="8:8">
      <c r="H1020">
        <v>0.98389434639545459</v>
      </c>
    </row>
    <row r="1021" spans="8:8">
      <c r="H1021">
        <v>0.98388105952727289</v>
      </c>
    </row>
    <row r="1022" spans="8:8">
      <c r="H1022">
        <v>0.98389153235454541</v>
      </c>
    </row>
    <row r="1023" spans="8:8">
      <c r="H1023">
        <v>0.98388173522272748</v>
      </c>
    </row>
    <row r="1024" spans="8:8">
      <c r="H1024">
        <v>0.98388852112272718</v>
      </c>
    </row>
    <row r="1025" spans="8:8">
      <c r="H1025">
        <v>0.98387686515000017</v>
      </c>
    </row>
    <row r="1026" spans="8:8">
      <c r="H1026">
        <v>0.98388646418636361</v>
      </c>
    </row>
    <row r="1027" spans="8:8">
      <c r="H1027">
        <v>0.98389441695000013</v>
      </c>
    </row>
    <row r="1028" spans="8:8">
      <c r="H1028">
        <v>0.98393800970909084</v>
      </c>
    </row>
    <row r="1029" spans="8:8">
      <c r="H1029">
        <v>0.98401055606363641</v>
      </c>
    </row>
    <row r="1030" spans="8:8">
      <c r="H1030">
        <v>0.98401798871363644</v>
      </c>
    </row>
    <row r="1031" spans="8:8">
      <c r="H1031">
        <v>0.98402516447272714</v>
      </c>
    </row>
    <row r="1032" spans="8:8">
      <c r="H1032">
        <v>0.98406594319090912</v>
      </c>
    </row>
    <row r="1033" spans="8:8">
      <c r="H1033">
        <v>0.98411739283181821</v>
      </c>
    </row>
    <row r="1034" spans="8:8">
      <c r="H1034">
        <v>0.98415004873181833</v>
      </c>
    </row>
    <row r="1035" spans="8:8">
      <c r="H1035">
        <v>0.98415443758636367</v>
      </c>
    </row>
    <row r="1036" spans="8:8">
      <c r="H1036">
        <v>0.9841807978499999</v>
      </c>
    </row>
    <row r="1037" spans="8:8">
      <c r="H1037">
        <v>0.98418392124545451</v>
      </c>
    </row>
    <row r="1038" spans="8:8">
      <c r="H1038">
        <v>0.98419362882727268</v>
      </c>
    </row>
    <row r="1039" spans="8:8">
      <c r="H1039">
        <v>0.98417715705454545</v>
      </c>
    </row>
    <row r="1040" spans="8:8">
      <c r="H1040">
        <v>0.98414524830909078</v>
      </c>
    </row>
    <row r="1041" spans="8:8">
      <c r="H1041">
        <v>0.98416291950909085</v>
      </c>
    </row>
    <row r="1042" spans="8:8">
      <c r="H1042">
        <v>0.98418193305454549</v>
      </c>
    </row>
    <row r="1043" spans="8:8">
      <c r="H1043">
        <v>0.98417288850454554</v>
      </c>
    </row>
    <row r="1044" spans="8:8">
      <c r="H1044">
        <v>0.98410920307727268</v>
      </c>
    </row>
    <row r="1045" spans="8:8">
      <c r="H1045">
        <v>0.98408617244545438</v>
      </c>
    </row>
    <row r="1046" spans="8:8">
      <c r="H1046">
        <v>0.98409685331818197</v>
      </c>
    </row>
    <row r="1047" spans="8:8">
      <c r="H1047">
        <v>0.98407693974999999</v>
      </c>
    </row>
    <row r="1048" spans="8:8">
      <c r="H1048">
        <v>0.98407843315454546</v>
      </c>
    </row>
    <row r="1049" spans="8:8">
      <c r="H1049">
        <v>0.98407411485454543</v>
      </c>
    </row>
    <row r="1050" spans="8:8">
      <c r="H1050">
        <v>0.98411201259545455</v>
      </c>
    </row>
    <row r="1051" spans="8:8">
      <c r="H1051">
        <v>0.9841416138454544</v>
      </c>
    </row>
    <row r="1052" spans="8:8">
      <c r="H1052">
        <v>0.98419803215454538</v>
      </c>
    </row>
    <row r="1053" spans="8:8">
      <c r="H1053">
        <v>0.98418613285909073</v>
      </c>
    </row>
    <row r="1054" spans="8:8">
      <c r="H1054">
        <v>0.98419776893181821</v>
      </c>
    </row>
    <row r="1055" spans="8:8">
      <c r="H1055">
        <v>0.98426762969090897</v>
      </c>
    </row>
    <row r="1056" spans="8:8">
      <c r="H1056">
        <v>0.98431305415454562</v>
      </c>
    </row>
    <row r="1057" spans="8:8">
      <c r="H1057">
        <v>0.98434244916818192</v>
      </c>
    </row>
    <row r="1058" spans="8:8">
      <c r="H1058">
        <v>0.98438509124999996</v>
      </c>
    </row>
    <row r="1059" spans="8:8">
      <c r="H1059">
        <v>0.98439521492272719</v>
      </c>
    </row>
    <row r="1060" spans="8:8">
      <c r="H1060">
        <v>0.98439154427727293</v>
      </c>
    </row>
    <row r="1061" spans="8:8">
      <c r="H1061">
        <v>0.98433378814545447</v>
      </c>
    </row>
    <row r="1062" spans="8:8">
      <c r="H1062">
        <v>0.9843291984818181</v>
      </c>
    </row>
    <row r="1063" spans="8:8">
      <c r="H1063">
        <v>0.98429629202272706</v>
      </c>
    </row>
    <row r="1064" spans="8:8">
      <c r="H1064">
        <v>0.98431350914090898</v>
      </c>
    </row>
    <row r="1065" spans="8:8">
      <c r="H1065">
        <v>0.98432784618636349</v>
      </c>
    </row>
    <row r="1066" spans="8:8">
      <c r="H1066">
        <v>0.98430508058636368</v>
      </c>
    </row>
    <row r="1067" spans="8:8">
      <c r="H1067">
        <v>0.98429364080000004</v>
      </c>
    </row>
    <row r="1068" spans="8:8">
      <c r="H1068">
        <v>0.98427532465909096</v>
      </c>
    </row>
    <row r="1069" spans="8:8">
      <c r="H1069">
        <v>0.98427477921818196</v>
      </c>
    </row>
    <row r="1070" spans="8:8">
      <c r="H1070">
        <v>0.98425594386818172</v>
      </c>
    </row>
    <row r="1071" spans="8:8">
      <c r="H1071">
        <v>0.98426104640909085</v>
      </c>
    </row>
    <row r="1072" spans="8:8">
      <c r="H1072">
        <v>0.98432157406818188</v>
      </c>
    </row>
    <row r="1073" spans="8:8">
      <c r="H1073">
        <v>0.98434462460000005</v>
      </c>
    </row>
    <row r="1074" spans="8:8">
      <c r="H1074">
        <v>0.98434160522727288</v>
      </c>
    </row>
    <row r="1075" spans="8:8">
      <c r="H1075">
        <v>0.98433678038181815</v>
      </c>
    </row>
    <row r="1076" spans="8:8">
      <c r="H1076">
        <v>0.98432443333636366</v>
      </c>
    </row>
    <row r="1077" spans="8:8">
      <c r="H1077">
        <v>0.9843223094636363</v>
      </c>
    </row>
    <row r="1078" spans="8:8">
      <c r="H1078">
        <v>0.98432065414545467</v>
      </c>
    </row>
    <row r="1079" spans="8:8">
      <c r="H1079">
        <v>0.98431677635909098</v>
      </c>
    </row>
    <row r="1080" spans="8:8">
      <c r="H1080">
        <v>0.98430893666363639</v>
      </c>
    </row>
    <row r="1081" spans="8:8">
      <c r="H1081">
        <v>0.98435730723181825</v>
      </c>
    </row>
    <row r="1082" spans="8:8">
      <c r="H1082">
        <v>0.98436541738636363</v>
      </c>
    </row>
    <row r="1083" spans="8:8">
      <c r="H1083">
        <v>0.98436655439999998</v>
      </c>
    </row>
    <row r="1084" spans="8:8">
      <c r="H1084">
        <v>0.98434258575454536</v>
      </c>
    </row>
    <row r="1085" spans="8:8">
      <c r="H1085">
        <v>0.98433399528636367</v>
      </c>
    </row>
    <row r="1086" spans="8:8">
      <c r="H1086">
        <v>0.98434898993636366</v>
      </c>
    </row>
    <row r="1087" spans="8:8">
      <c r="H1087">
        <v>0.98436844309090898</v>
      </c>
    </row>
    <row r="1088" spans="8:8">
      <c r="H1088">
        <v>0.98440507175454517</v>
      </c>
    </row>
    <row r="1089" spans="8:8">
      <c r="H1089">
        <v>0.98442010077727271</v>
      </c>
    </row>
    <row r="1090" spans="8:8">
      <c r="H1090">
        <v>0.9843977386045456</v>
      </c>
    </row>
    <row r="1091" spans="8:8">
      <c r="H1091">
        <v>0.98437953643636344</v>
      </c>
    </row>
    <row r="1092" spans="8:8">
      <c r="H1092">
        <v>0.98432910893181824</v>
      </c>
    </row>
    <row r="1093" spans="8:8">
      <c r="H1093">
        <v>0.98432929798181801</v>
      </c>
    </row>
    <row r="1094" spans="8:8">
      <c r="H1094">
        <v>0.98432308375454525</v>
      </c>
    </row>
    <row r="1095" spans="8:8">
      <c r="H1095">
        <v>0.98433572296818195</v>
      </c>
    </row>
    <row r="1096" spans="8:8">
      <c r="H1096">
        <v>0.9843577441272725</v>
      </c>
    </row>
    <row r="1097" spans="8:8">
      <c r="H1097">
        <v>0.98436306737727253</v>
      </c>
    </row>
    <row r="1098" spans="8:8">
      <c r="H1098">
        <v>0.9843438412636365</v>
      </c>
    </row>
    <row r="1099" spans="8:8">
      <c r="H1099">
        <v>0.98431720601818173</v>
      </c>
    </row>
    <row r="1100" spans="8:8">
      <c r="H1100">
        <v>0.98432935315909076</v>
      </c>
    </row>
    <row r="1101" spans="8:8">
      <c r="H1101">
        <v>0.98437319104999998</v>
      </c>
    </row>
    <row r="1102" spans="8:8">
      <c r="H1102">
        <v>0.98441120999999976</v>
      </c>
    </row>
    <row r="1103" spans="8:8">
      <c r="H1103">
        <v>0.98444824480454529</v>
      </c>
    </row>
    <row r="1104" spans="8:8">
      <c r="H1104">
        <v>0.98447203977727282</v>
      </c>
    </row>
    <row r="1105" spans="8:8">
      <c r="H1105">
        <v>0.98446933880454557</v>
      </c>
    </row>
    <row r="1106" spans="8:8">
      <c r="H1106">
        <v>0.98443778644999991</v>
      </c>
    </row>
    <row r="1107" spans="8:8">
      <c r="H1107">
        <v>0.98440800610000001</v>
      </c>
    </row>
    <row r="1108" spans="8:8">
      <c r="H1108">
        <v>0.98439358221818185</v>
      </c>
    </row>
    <row r="1109" spans="8:8">
      <c r="H1109">
        <v>0.98440251731818185</v>
      </c>
    </row>
    <row r="1110" spans="8:8">
      <c r="H1110">
        <v>0.98439400825909118</v>
      </c>
    </row>
    <row r="1111" spans="8:8">
      <c r="H1111">
        <v>0.98435455831818186</v>
      </c>
    </row>
    <row r="1112" spans="8:8">
      <c r="H1112">
        <v>0.98435534165454552</v>
      </c>
    </row>
    <row r="1113" spans="8:8">
      <c r="H1113">
        <v>0.98433421690000023</v>
      </c>
    </row>
    <row r="1114" spans="8:8">
      <c r="H1114">
        <v>0.98432577839545454</v>
      </c>
    </row>
    <row r="1115" spans="8:8">
      <c r="H1115">
        <v>0.9843081596590908</v>
      </c>
    </row>
    <row r="1116" spans="8:8">
      <c r="H1116">
        <v>0.98430873404545483</v>
      </c>
    </row>
    <row r="1117" spans="8:8">
      <c r="H1117">
        <v>0.98436914501818185</v>
      </c>
    </row>
    <row r="1118" spans="8:8">
      <c r="H1118">
        <v>0.98441685888636354</v>
      </c>
    </row>
    <row r="1119" spans="8:8">
      <c r="H1119">
        <v>0.98442860621818185</v>
      </c>
    </row>
    <row r="1120" spans="8:8">
      <c r="H1120">
        <v>0.98441074415909102</v>
      </c>
    </row>
    <row r="1121" spans="8:8">
      <c r="H1121">
        <v>0.98441240219090898</v>
      </c>
    </row>
    <row r="1122" spans="8:8">
      <c r="H1122">
        <v>0.98445406826818171</v>
      </c>
    </row>
    <row r="1123" spans="8:8">
      <c r="H1123">
        <v>0.98444565056818167</v>
      </c>
    </row>
    <row r="1124" spans="8:8">
      <c r="H1124">
        <v>0.98444026671363649</v>
      </c>
    </row>
    <row r="1125" spans="8:8">
      <c r="H1125">
        <v>0.98445987997272721</v>
      </c>
    </row>
    <row r="1126" spans="8:8">
      <c r="H1126">
        <v>0.98450847577272727</v>
      </c>
    </row>
    <row r="1127" spans="8:8">
      <c r="H1127">
        <v>0.98454662045454522</v>
      </c>
    </row>
    <row r="1128" spans="8:8">
      <c r="H1128">
        <v>0.98453786174090896</v>
      </c>
    </row>
    <row r="1129" spans="8:8">
      <c r="H1129">
        <v>0.98451912046363632</v>
      </c>
    </row>
    <row r="1130" spans="8:8">
      <c r="H1130">
        <v>0.98450974213636366</v>
      </c>
    </row>
    <row r="1131" spans="8:8">
      <c r="H1131">
        <v>0.98453112106818186</v>
      </c>
    </row>
    <row r="1132" spans="8:8">
      <c r="H1132">
        <v>0.98452645813636364</v>
      </c>
    </row>
    <row r="1133" spans="8:8">
      <c r="H1133">
        <v>0.98451634260454535</v>
      </c>
    </row>
    <row r="1134" spans="8:8">
      <c r="H1134">
        <v>0.98451816797727276</v>
      </c>
    </row>
    <row r="1135" spans="8:8">
      <c r="H1135">
        <v>0.98451232280454548</v>
      </c>
    </row>
    <row r="1136" spans="8:8">
      <c r="H1136">
        <v>0.98448302005454547</v>
      </c>
    </row>
    <row r="1137" spans="8:8">
      <c r="H1137">
        <v>0.98444606575454541</v>
      </c>
    </row>
    <row r="1138" spans="8:8">
      <c r="H1138">
        <v>0.98442766458636355</v>
      </c>
    </row>
    <row r="1139" spans="8:8">
      <c r="H1139">
        <v>0.98441706331363643</v>
      </c>
    </row>
    <row r="1140" spans="8:8">
      <c r="H1140">
        <v>0.98438421293636358</v>
      </c>
    </row>
    <row r="1141" spans="8:8">
      <c r="H1141">
        <v>0.98434105707272734</v>
      </c>
    </row>
    <row r="1142" spans="8:8">
      <c r="H1142">
        <v>0.98432912430909103</v>
      </c>
    </row>
    <row r="1143" spans="8:8">
      <c r="H1143">
        <v>0.98440276787727266</v>
      </c>
    </row>
    <row r="1144" spans="8:8">
      <c r="H1144">
        <v>0.98451974821818167</v>
      </c>
    </row>
    <row r="1145" spans="8:8">
      <c r="H1145">
        <v>0.98459918449545436</v>
      </c>
    </row>
    <row r="1146" spans="8:8">
      <c r="H1146">
        <v>0.98464318339545442</v>
      </c>
    </row>
    <row r="1147" spans="8:8">
      <c r="H1147">
        <v>0.98467249338181817</v>
      </c>
    </row>
    <row r="1148" spans="8:8">
      <c r="H1148">
        <v>0.98466982225909083</v>
      </c>
    </row>
    <row r="1149" spans="8:8">
      <c r="H1149">
        <v>0.98465535857727271</v>
      </c>
    </row>
    <row r="1150" spans="8:8">
      <c r="H1150">
        <v>0.98465009955000005</v>
      </c>
    </row>
    <row r="1151" spans="8:8">
      <c r="H1151">
        <v>0.98467543858181794</v>
      </c>
    </row>
    <row r="1152" spans="8:8">
      <c r="H1152">
        <v>0.98472534054545446</v>
      </c>
    </row>
    <row r="1153" spans="8:8">
      <c r="H1153">
        <v>0.98478338341818172</v>
      </c>
    </row>
    <row r="1154" spans="8:8">
      <c r="H1154">
        <v>0.98474315556818193</v>
      </c>
    </row>
    <row r="1155" spans="8:8">
      <c r="H1155">
        <v>0.98464129741818185</v>
      </c>
    </row>
    <row r="1156" spans="8:8">
      <c r="H1156">
        <v>0.98458407406363646</v>
      </c>
    </row>
    <row r="1157" spans="8:8">
      <c r="H1157">
        <v>0.98454079427727281</v>
      </c>
    </row>
    <row r="1158" spans="8:8">
      <c r="H1158">
        <v>0.98450438179999988</v>
      </c>
    </row>
    <row r="1159" spans="8:8">
      <c r="H1159">
        <v>0.98453056567727271</v>
      </c>
    </row>
    <row r="1160" spans="8:8">
      <c r="H1160">
        <v>0.98456192536363629</v>
      </c>
    </row>
    <row r="1161" spans="8:8">
      <c r="H1161">
        <v>0.98458941359545449</v>
      </c>
    </row>
    <row r="1162" spans="8:8">
      <c r="H1162">
        <v>0.98464273564545446</v>
      </c>
    </row>
    <row r="1163" spans="8:8">
      <c r="H1163">
        <v>0.98468343385909096</v>
      </c>
    </row>
    <row r="1164" spans="8:8">
      <c r="H1164">
        <v>0.98464972054545474</v>
      </c>
    </row>
    <row r="1165" spans="8:8">
      <c r="H1165">
        <v>0.98459793712727273</v>
      </c>
    </row>
    <row r="1166" spans="8:8">
      <c r="H1166">
        <v>0.98457200200000006</v>
      </c>
    </row>
    <row r="1167" spans="8:8">
      <c r="H1167">
        <v>0.98457175505909089</v>
      </c>
    </row>
    <row r="1168" spans="8:8">
      <c r="H1168">
        <v>0.9846434240045453</v>
      </c>
    </row>
    <row r="1169" spans="8:8">
      <c r="H1169">
        <v>0.98471438740454531</v>
      </c>
    </row>
    <row r="1170" spans="8:8">
      <c r="H1170">
        <v>0.98473226936363645</v>
      </c>
    </row>
    <row r="1171" spans="8:8">
      <c r="H1171">
        <v>0.98470698189090911</v>
      </c>
    </row>
    <row r="1172" spans="8:8">
      <c r="H1172">
        <v>0.98465380547272729</v>
      </c>
    </row>
    <row r="1173" spans="8:8">
      <c r="H1173">
        <v>0.98460322510000009</v>
      </c>
    </row>
    <row r="1174" spans="8:8">
      <c r="H1174">
        <v>0.98462415447272744</v>
      </c>
    </row>
    <row r="1175" spans="8:8">
      <c r="H1175">
        <v>0.98465930330000007</v>
      </c>
    </row>
    <row r="1176" spans="8:8">
      <c r="H1176">
        <v>0.9846815713999999</v>
      </c>
    </row>
    <row r="1177" spans="8:8">
      <c r="H1177">
        <v>0.98465089916818183</v>
      </c>
    </row>
    <row r="1178" spans="8:8">
      <c r="H1178">
        <v>0.98469212925454552</v>
      </c>
    </row>
    <row r="1179" spans="8:8">
      <c r="H1179">
        <v>0.98472273545454525</v>
      </c>
    </row>
    <row r="1180" spans="8:8">
      <c r="H1180">
        <v>0.98467049252727279</v>
      </c>
    </row>
    <row r="1181" spans="8:8">
      <c r="H1181">
        <v>0.98466005678636348</v>
      </c>
    </row>
    <row r="1182" spans="8:8">
      <c r="H1182">
        <v>0.98472338763181821</v>
      </c>
    </row>
    <row r="1183" spans="8:8">
      <c r="H1183">
        <v>0.98483484300909097</v>
      </c>
    </row>
    <row r="1184" spans="8:8">
      <c r="H1184">
        <v>0.9848247907954546</v>
      </c>
    </row>
    <row r="1185" spans="8:8">
      <c r="H1185">
        <v>0.98473874771818171</v>
      </c>
    </row>
    <row r="1186" spans="8:8">
      <c r="H1186">
        <v>0.98475258545454547</v>
      </c>
    </row>
    <row r="1187" spans="8:8">
      <c r="H1187">
        <v>0.98488418144090906</v>
      </c>
    </row>
    <row r="1188" spans="8:8">
      <c r="H1188">
        <v>0.98489901327272733</v>
      </c>
    </row>
    <row r="1189" spans="8:8">
      <c r="H1189">
        <v>0.98484474597272753</v>
      </c>
    </row>
    <row r="1190" spans="8:8">
      <c r="H1190">
        <v>0.98484371660000003</v>
      </c>
    </row>
    <row r="1191" spans="8:8">
      <c r="H1191">
        <v>0.98493663965</v>
      </c>
    </row>
    <row r="1192" spans="8:8">
      <c r="H1192">
        <v>0.98492873030454531</v>
      </c>
    </row>
    <row r="1193" spans="8:8">
      <c r="H1193">
        <v>0.98492123252727271</v>
      </c>
    </row>
    <row r="1194" spans="8:8">
      <c r="H1194">
        <v>0.98486728905454546</v>
      </c>
    </row>
    <row r="1195" spans="8:8">
      <c r="H1195">
        <v>0.98487171228181825</v>
      </c>
    </row>
    <row r="1196" spans="8:8">
      <c r="H1196">
        <v>0.98500761300000006</v>
      </c>
    </row>
    <row r="1197" spans="8:8">
      <c r="H1197">
        <v>0.98491982686363633</v>
      </c>
    </row>
    <row r="1198" spans="8:8">
      <c r="H1198">
        <v>0.98474260379545475</v>
      </c>
    </row>
    <row r="1199" spans="8:8">
      <c r="H1199">
        <v>0.98487545800454568</v>
      </c>
    </row>
    <row r="1200" spans="8:8">
      <c r="H1200">
        <v>0.98487557650000002</v>
      </c>
    </row>
    <row r="1201" spans="8:8">
      <c r="H1201">
        <v>0.98479641882272728</v>
      </c>
    </row>
    <row r="1202" spans="8:8">
      <c r="H1202">
        <v>0.98477840841818176</v>
      </c>
    </row>
    <row r="1203" spans="8:8">
      <c r="H1203">
        <v>0.98482306763636362</v>
      </c>
    </row>
    <row r="1204" spans="8:8">
      <c r="H1204">
        <v>0.98474946929545448</v>
      </c>
    </row>
    <row r="1205" spans="8:8">
      <c r="H1205">
        <v>0.98476506546818188</v>
      </c>
    </row>
    <row r="1206" spans="8:8">
      <c r="H1206">
        <v>0.98483848199545465</v>
      </c>
    </row>
    <row r="1207" spans="8:8">
      <c r="H1207">
        <v>0.98465958732727288</v>
      </c>
    </row>
    <row r="1208" spans="8:8">
      <c r="H1208">
        <v>0.98472556396818167</v>
      </c>
    </row>
    <row r="1209" spans="8:8">
      <c r="H1209">
        <v>0.98479799273181812</v>
      </c>
    </row>
    <row r="1210" spans="8:8">
      <c r="H1210">
        <v>0.98468415840000001</v>
      </c>
    </row>
    <row r="1211" spans="8:8">
      <c r="H1211">
        <v>0.98460742219090902</v>
      </c>
    </row>
    <row r="1212" spans="8:8">
      <c r="H1212">
        <v>0.98449745388636345</v>
      </c>
    </row>
    <row r="1213" spans="8:8">
      <c r="H1213">
        <v>0.98466171300909078</v>
      </c>
    </row>
    <row r="1214" spans="8:8">
      <c r="H1214">
        <v>0.98461865483636368</v>
      </c>
    </row>
    <row r="1215" spans="8:8">
      <c r="H1215">
        <v>0.98471941305909083</v>
      </c>
    </row>
    <row r="1216" spans="8:8">
      <c r="H1216">
        <v>0.98475157326818175</v>
      </c>
    </row>
    <row r="1217" spans="8:8">
      <c r="H1217">
        <v>0.98467124510909099</v>
      </c>
    </row>
    <row r="1218" spans="8:8">
      <c r="H1218">
        <v>0.98469922179545466</v>
      </c>
    </row>
    <row r="1219" spans="8:8">
      <c r="H1219">
        <v>0.98461406788636352</v>
      </c>
    </row>
    <row r="1220" spans="8:8">
      <c r="H1220">
        <v>0.98464181662727268</v>
      </c>
    </row>
    <row r="1221" spans="8:8">
      <c r="H1221">
        <v>0.98459121725909071</v>
      </c>
    </row>
    <row r="1222" spans="8:8">
      <c r="H1222">
        <v>0.98460199672727255</v>
      </c>
    </row>
    <row r="1223" spans="8:8">
      <c r="H1223">
        <v>0.98539727490000006</v>
      </c>
    </row>
    <row r="1224" spans="8:8">
      <c r="H1224">
        <v>0.98434840560000014</v>
      </c>
    </row>
    <row r="1225" spans="8:8">
      <c r="H1225">
        <v>0.98400396644999999</v>
      </c>
    </row>
    <row r="1226" spans="8:8">
      <c r="H1226">
        <v>0.9838331050500001</v>
      </c>
    </row>
    <row r="1227" spans="8:8">
      <c r="H1227">
        <v>0.98485834309999998</v>
      </c>
    </row>
    <row r="1228" spans="8:8">
      <c r="H1228">
        <v>0.98383765219999997</v>
      </c>
    </row>
    <row r="1229" spans="8:8">
      <c r="H1229">
        <v>0.98378186255</v>
      </c>
    </row>
    <row r="1230" spans="8:8">
      <c r="H1230">
        <v>0.98760665250000002</v>
      </c>
    </row>
    <row r="1231" spans="8:8">
      <c r="H1231">
        <v>0.98133442125000003</v>
      </c>
    </row>
    <row r="1232" spans="8:8">
      <c r="H1232">
        <v>0.98604026380000009</v>
      </c>
    </row>
  </sheetData>
  <sheetCalcPr fullCalcOnLoad="1"/>
  <phoneticPr fontId="4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8" enableFormatConditionsCalculation="0">
    <pageSetUpPr fitToPage="1"/>
  </sheetPr>
  <dimension ref="A1:BI125"/>
  <sheetViews>
    <sheetView zoomScale="75" zoomScaleNormal="75" zoomScalePageLayoutView="75" workbookViewId="0">
      <selection activeCell="D3" sqref="D3"/>
    </sheetView>
  </sheetViews>
  <sheetFormatPr baseColWidth="10" defaultColWidth="9.33203125" defaultRowHeight="13"/>
  <cols>
    <col min="1" max="1" width="21.1640625" style="107" customWidth="1"/>
    <col min="2" max="2" width="9.33203125" style="107"/>
    <col min="3" max="3" width="9.5" style="107" customWidth="1"/>
    <col min="4" max="4" width="9.33203125" style="107"/>
    <col min="5" max="5" width="9.1640625" style="107" customWidth="1"/>
    <col min="6" max="12" width="7.83203125" style="107" customWidth="1"/>
    <col min="13" max="14" width="8.5" style="107" customWidth="1"/>
    <col min="15" max="15" width="9.5" style="107" customWidth="1"/>
    <col min="16" max="16" width="7.83203125" style="107" customWidth="1"/>
    <col min="17" max="17" width="9.83203125" style="107" customWidth="1"/>
    <col min="18" max="18" width="8.83203125" style="107" customWidth="1"/>
    <col min="19" max="26" width="10.1640625" style="107" customWidth="1"/>
    <col min="27" max="28" width="9.33203125" style="107"/>
    <col min="29" max="29" width="12" style="107" customWidth="1"/>
    <col min="30" max="30" width="12.33203125" style="107" bestFit="1" customWidth="1"/>
    <col min="31" max="33" width="11" style="107" bestFit="1" customWidth="1"/>
    <col min="34" max="16384" width="9.33203125" style="107"/>
  </cols>
  <sheetData>
    <row r="1" spans="1:61">
      <c r="A1" s="107" t="s">
        <v>210</v>
      </c>
      <c r="D1" s="107" t="s">
        <v>211</v>
      </c>
      <c r="E1" s="108" t="s">
        <v>212</v>
      </c>
      <c r="M1" s="107" t="s">
        <v>213</v>
      </c>
      <c r="Q1" s="107" t="s">
        <v>214</v>
      </c>
    </row>
    <row r="2" spans="1:61">
      <c r="Q2" s="107" t="s">
        <v>215</v>
      </c>
    </row>
    <row r="3" spans="1:61">
      <c r="A3" s="107" t="s">
        <v>216</v>
      </c>
      <c r="B3" s="107" t="s">
        <v>217</v>
      </c>
      <c r="D3" s="107">
        <v>0.98</v>
      </c>
    </row>
    <row r="4" spans="1:61">
      <c r="A4" s="107" t="s">
        <v>218</v>
      </c>
      <c r="B4" s="107" t="s">
        <v>258</v>
      </c>
      <c r="D4" s="171">
        <v>1.176E-2</v>
      </c>
      <c r="E4" s="109" t="s">
        <v>219</v>
      </c>
      <c r="M4" s="109"/>
      <c r="N4" s="109"/>
      <c r="Q4" s="107" t="s">
        <v>220</v>
      </c>
      <c r="S4" s="107" t="s">
        <v>221</v>
      </c>
      <c r="U4" s="107" t="s">
        <v>222</v>
      </c>
      <c r="AC4" s="110"/>
      <c r="AD4" s="110"/>
      <c r="AE4" s="110"/>
    </row>
    <row r="5" spans="1:61">
      <c r="A5" s="107" t="s">
        <v>115</v>
      </c>
      <c r="B5" s="107" t="s">
        <v>116</v>
      </c>
      <c r="D5" s="107">
        <v>5</v>
      </c>
      <c r="E5" s="107" t="s">
        <v>117</v>
      </c>
      <c r="L5" s="107" t="s">
        <v>118</v>
      </c>
      <c r="M5" s="111">
        <f>2*PI()*n</f>
        <v>7.3890259212431933E-2</v>
      </c>
      <c r="N5" s="109" t="s">
        <v>219</v>
      </c>
      <c r="Q5" s="107" t="s">
        <v>119</v>
      </c>
      <c r="R5" s="107">
        <v>1.5669999999999999</v>
      </c>
      <c r="S5" s="107">
        <v>1.5001</v>
      </c>
      <c r="U5" s="107">
        <v>1.5669999999999999</v>
      </c>
      <c r="AC5" s="110"/>
      <c r="AD5" s="110"/>
      <c r="AE5" s="110"/>
    </row>
    <row r="6" spans="1:61">
      <c r="A6" s="107" t="s">
        <v>120</v>
      </c>
      <c r="B6" s="107" t="s">
        <v>121</v>
      </c>
      <c r="D6" s="107">
        <v>1.92</v>
      </c>
      <c r="E6" s="107" t="s">
        <v>117</v>
      </c>
      <c r="L6" s="107" t="s">
        <v>122</v>
      </c>
      <c r="M6" s="111">
        <f>1/$D$4*COS(PI()/180*$D$6)</f>
        <v>84.98627395505649</v>
      </c>
      <c r="N6" s="107" t="s">
        <v>333</v>
      </c>
      <c r="Q6" s="107" t="s">
        <v>123</v>
      </c>
      <c r="R6" s="107">
        <v>9.7999999999999997E-3</v>
      </c>
      <c r="S6" s="107">
        <v>4.0000000000000001E-3</v>
      </c>
      <c r="U6" s="107">
        <v>9.7999999999999997E-3</v>
      </c>
      <c r="AC6" s="110"/>
      <c r="AD6" s="110"/>
      <c r="AE6" s="110"/>
    </row>
    <row r="7" spans="1:61">
      <c r="A7" s="107" t="s">
        <v>124</v>
      </c>
      <c r="B7" s="107" t="s">
        <v>125</v>
      </c>
      <c r="D7" s="107">
        <v>0.1</v>
      </c>
      <c r="E7" s="107" t="s">
        <v>117</v>
      </c>
      <c r="Q7" s="107" t="s">
        <v>126</v>
      </c>
      <c r="R7" s="107">
        <v>-4.4000000000000002E-4</v>
      </c>
      <c r="S7" s="107">
        <v>1.6000000000000001E-4</v>
      </c>
      <c r="U7" s="107">
        <v>-4.4000000000000002E-4</v>
      </c>
      <c r="AC7" s="110"/>
      <c r="AD7" s="110"/>
      <c r="AE7" s="110"/>
    </row>
    <row r="8" spans="1:61">
      <c r="AC8" s="111"/>
      <c r="AD8" s="111"/>
      <c r="AE8" s="111"/>
    </row>
    <row r="9" spans="1:61">
      <c r="A9" s="107" t="s">
        <v>127</v>
      </c>
      <c r="B9" s="107">
        <v>1.4999999999999999E-2</v>
      </c>
      <c r="AC9" s="111"/>
      <c r="AD9" s="111"/>
      <c r="AE9" s="111"/>
    </row>
    <row r="10" spans="1:61">
      <c r="C10" s="107" t="s">
        <v>128</v>
      </c>
      <c r="G10" s="107" t="s">
        <v>129</v>
      </c>
      <c r="O10" s="107" t="s">
        <v>130</v>
      </c>
      <c r="AA10" s="107">
        <v>-1</v>
      </c>
      <c r="AB10" s="107">
        <v>-2</v>
      </c>
      <c r="AC10" s="107">
        <v>-3</v>
      </c>
      <c r="AD10" s="107">
        <v>0</v>
      </c>
      <c r="AE10" s="107">
        <v>1</v>
      </c>
      <c r="AF10" s="107">
        <v>2</v>
      </c>
      <c r="AG10" s="107">
        <v>3</v>
      </c>
      <c r="AH10" s="107">
        <v>4</v>
      </c>
      <c r="AI10" s="107">
        <f t="shared" ref="AI10:AQ10" si="0">AH10+1</f>
        <v>5</v>
      </c>
      <c r="AJ10" s="107">
        <f t="shared" si="0"/>
        <v>6</v>
      </c>
      <c r="AK10" s="107">
        <f t="shared" si="0"/>
        <v>7</v>
      </c>
      <c r="AL10" s="107">
        <f t="shared" si="0"/>
        <v>8</v>
      </c>
      <c r="AM10" s="107">
        <f t="shared" si="0"/>
        <v>9</v>
      </c>
      <c r="AN10" s="107">
        <f t="shared" si="0"/>
        <v>10</v>
      </c>
      <c r="AO10" s="107">
        <f t="shared" si="0"/>
        <v>11</v>
      </c>
      <c r="AP10" s="107">
        <f t="shared" si="0"/>
        <v>12</v>
      </c>
      <c r="AQ10" s="107">
        <f t="shared" si="0"/>
        <v>13</v>
      </c>
      <c r="AR10" s="107">
        <v>-4</v>
      </c>
      <c r="AS10" s="107">
        <f t="shared" ref="AS10:BI10" si="1">AR10-1</f>
        <v>-5</v>
      </c>
      <c r="AT10" s="107">
        <f t="shared" si="1"/>
        <v>-6</v>
      </c>
      <c r="AU10" s="107">
        <f t="shared" si="1"/>
        <v>-7</v>
      </c>
      <c r="AV10" s="107">
        <f t="shared" si="1"/>
        <v>-8</v>
      </c>
      <c r="AW10" s="107">
        <f t="shared" si="1"/>
        <v>-9</v>
      </c>
      <c r="AX10" s="107">
        <f t="shared" si="1"/>
        <v>-10</v>
      </c>
      <c r="AY10" s="107">
        <f t="shared" si="1"/>
        <v>-11</v>
      </c>
      <c r="AZ10" s="107">
        <f t="shared" si="1"/>
        <v>-12</v>
      </c>
      <c r="BA10" s="107">
        <f t="shared" si="1"/>
        <v>-13</v>
      </c>
      <c r="BB10" s="107">
        <f t="shared" si="1"/>
        <v>-14</v>
      </c>
      <c r="BC10" s="107">
        <f t="shared" si="1"/>
        <v>-15</v>
      </c>
      <c r="BD10" s="107">
        <f t="shared" si="1"/>
        <v>-16</v>
      </c>
      <c r="BE10" s="107">
        <f t="shared" si="1"/>
        <v>-17</v>
      </c>
      <c r="BF10" s="107">
        <f t="shared" si="1"/>
        <v>-18</v>
      </c>
      <c r="BG10" s="107">
        <f t="shared" si="1"/>
        <v>-19</v>
      </c>
      <c r="BH10" s="107">
        <f t="shared" si="1"/>
        <v>-20</v>
      </c>
      <c r="BI10" s="107">
        <f t="shared" si="1"/>
        <v>-21</v>
      </c>
    </row>
    <row r="11" spans="1:61" s="112" customFormat="1" ht="40" thickBot="1">
      <c r="A11" s="112" t="s">
        <v>131</v>
      </c>
      <c r="B11" s="112" t="s">
        <v>132</v>
      </c>
      <c r="C11" s="112" t="str">
        <f t="shared" ref="C11:H11" si="2">"E"&amp;AA$10</f>
        <v>E-1</v>
      </c>
      <c r="D11" s="112" t="str">
        <f t="shared" si="2"/>
        <v>E-2</v>
      </c>
      <c r="E11" s="112" t="str">
        <f t="shared" si="2"/>
        <v>E-3</v>
      </c>
      <c r="F11" s="112" t="str">
        <f t="shared" si="2"/>
        <v>E0</v>
      </c>
      <c r="G11" s="112" t="str">
        <f t="shared" si="2"/>
        <v>E1</v>
      </c>
      <c r="H11" s="112" t="str">
        <f t="shared" si="2"/>
        <v>E2</v>
      </c>
      <c r="I11" s="112" t="s">
        <v>133</v>
      </c>
      <c r="J11" s="112" t="s">
        <v>134</v>
      </c>
      <c r="K11" s="112" t="s">
        <v>135</v>
      </c>
      <c r="L11" s="112" t="s">
        <v>136</v>
      </c>
      <c r="M11" s="112" t="s">
        <v>354</v>
      </c>
      <c r="N11" s="112" t="s">
        <v>186</v>
      </c>
      <c r="O11" s="112" t="s">
        <v>137</v>
      </c>
      <c r="P11" s="112" t="s">
        <v>138</v>
      </c>
      <c r="Q11" s="112" t="s">
        <v>139</v>
      </c>
      <c r="R11" s="112" t="s">
        <v>140</v>
      </c>
      <c r="S11" s="112" t="s">
        <v>141</v>
      </c>
      <c r="T11" s="112" t="s">
        <v>142</v>
      </c>
      <c r="U11" s="112" t="s">
        <v>143</v>
      </c>
      <c r="V11" s="112" t="s">
        <v>144</v>
      </c>
      <c r="W11" s="112" t="s">
        <v>145</v>
      </c>
      <c r="X11" s="112" t="s">
        <v>146</v>
      </c>
      <c r="Y11" s="112" t="s">
        <v>147</v>
      </c>
      <c r="Z11" s="112" t="s">
        <v>148</v>
      </c>
      <c r="AA11" s="112" t="str">
        <f t="shared" ref="AA11:BI11" si="3">"G"&amp;AA$10</f>
        <v>G-1</v>
      </c>
      <c r="AB11" s="112" t="str">
        <f t="shared" si="3"/>
        <v>G-2</v>
      </c>
      <c r="AC11" s="112" t="str">
        <f t="shared" si="3"/>
        <v>G-3</v>
      </c>
      <c r="AD11" s="112" t="str">
        <f t="shared" si="3"/>
        <v>G0</v>
      </c>
      <c r="AE11" s="112" t="str">
        <f t="shared" si="3"/>
        <v>G1</v>
      </c>
      <c r="AF11" s="112" t="str">
        <f t="shared" si="3"/>
        <v>G2</v>
      </c>
      <c r="AG11" s="112" t="str">
        <f t="shared" si="3"/>
        <v>G3</v>
      </c>
      <c r="AH11" s="112" t="str">
        <f t="shared" si="3"/>
        <v>G4</v>
      </c>
      <c r="AI11" s="112" t="str">
        <f t="shared" si="3"/>
        <v>G5</v>
      </c>
      <c r="AJ11" s="112" t="str">
        <f t="shared" si="3"/>
        <v>G6</v>
      </c>
      <c r="AK11" s="112" t="str">
        <f t="shared" si="3"/>
        <v>G7</v>
      </c>
      <c r="AL11" s="112" t="str">
        <f t="shared" si="3"/>
        <v>G8</v>
      </c>
      <c r="AM11" s="112" t="str">
        <f t="shared" si="3"/>
        <v>G9</v>
      </c>
      <c r="AN11" s="112" t="str">
        <f t="shared" si="3"/>
        <v>G10</v>
      </c>
      <c r="AO11" s="112" t="str">
        <f t="shared" si="3"/>
        <v>G11</v>
      </c>
      <c r="AP11" s="112" t="str">
        <f t="shared" si="3"/>
        <v>G12</v>
      </c>
      <c r="AQ11" s="112" t="str">
        <f t="shared" si="3"/>
        <v>G13</v>
      </c>
      <c r="AR11" s="112" t="str">
        <f t="shared" si="3"/>
        <v>G-4</v>
      </c>
      <c r="AS11" s="112" t="str">
        <f t="shared" si="3"/>
        <v>G-5</v>
      </c>
      <c r="AT11" s="112" t="str">
        <f t="shared" si="3"/>
        <v>G-6</v>
      </c>
      <c r="AU11" s="112" t="str">
        <f t="shared" si="3"/>
        <v>G-7</v>
      </c>
      <c r="AV11" s="112" t="str">
        <f t="shared" si="3"/>
        <v>G-8</v>
      </c>
      <c r="AW11" s="112" t="str">
        <f t="shared" si="3"/>
        <v>G-9</v>
      </c>
      <c r="AX11" s="112" t="str">
        <f t="shared" si="3"/>
        <v>G-10</v>
      </c>
      <c r="AY11" s="112" t="str">
        <f t="shared" si="3"/>
        <v>G-11</v>
      </c>
      <c r="AZ11" s="112" t="str">
        <f t="shared" si="3"/>
        <v>G-12</v>
      </c>
      <c r="BA11" s="112" t="str">
        <f t="shared" si="3"/>
        <v>G-13</v>
      </c>
      <c r="BB11" s="112" t="str">
        <f t="shared" si="3"/>
        <v>G-14</v>
      </c>
      <c r="BC11" s="112" t="str">
        <f t="shared" si="3"/>
        <v>G-15</v>
      </c>
      <c r="BD11" s="112" t="str">
        <f t="shared" si="3"/>
        <v>G-16</v>
      </c>
      <c r="BE11" s="112" t="str">
        <f t="shared" si="3"/>
        <v>G-17</v>
      </c>
      <c r="BF11" s="112" t="str">
        <f t="shared" si="3"/>
        <v>G-18</v>
      </c>
      <c r="BG11" s="112" t="str">
        <f t="shared" si="3"/>
        <v>G-19</v>
      </c>
      <c r="BH11" s="112" t="str">
        <f t="shared" si="3"/>
        <v>G-20</v>
      </c>
      <c r="BI11" s="112" t="str">
        <f t="shared" si="3"/>
        <v>G-21</v>
      </c>
    </row>
    <row r="12" spans="1:61" s="112" customFormat="1">
      <c r="A12" s="113">
        <v>1.35</v>
      </c>
      <c r="B12" s="110">
        <f t="shared" ref="B12:B53" si="4">$D$4*A12/SIN(PI()/180*$D$6)</f>
        <v>0.47385315677765305</v>
      </c>
      <c r="C12" s="158">
        <f t="shared" ref="C12:H31" si="5">$D$3*$S12/(AA12^2/$D$4^2)*2*(1-COS(AA12*$M$6))</f>
        <v>0.76897672125638949</v>
      </c>
      <c r="D12" s="113">
        <f t="shared" si="5"/>
        <v>5.2446362863087875E-2</v>
      </c>
      <c r="E12" s="113">
        <f t="shared" si="5"/>
        <v>1.0169945557489879E-2</v>
      </c>
      <c r="F12" s="113">
        <f t="shared" si="5"/>
        <v>2.3167382092201733E-2</v>
      </c>
      <c r="G12" s="113">
        <f t="shared" si="5"/>
        <v>7.0738444308713691E-3</v>
      </c>
      <c r="H12" s="113">
        <f t="shared" si="5"/>
        <v>3.4316810186160182E-3</v>
      </c>
      <c r="I12" s="113"/>
      <c r="J12" s="113"/>
      <c r="K12" s="113">
        <f t="shared" ref="K12:K53" si="6">L12+N12</f>
        <v>0.87251274025267855</v>
      </c>
      <c r="L12" s="107">
        <f t="shared" ref="L12:L53" si="7">SUM(C12:H12)</f>
        <v>0.8652659372186563</v>
      </c>
      <c r="M12" s="111">
        <f t="shared" ref="M12:M53" si="8">SQRT(2*1/(1+R12))</f>
        <v>0.88177717397523392</v>
      </c>
      <c r="N12" s="113">
        <f t="shared" ref="N12:N53" si="9">($R12-$Q12)/($R12+$Q12)</f>
        <v>7.2468030340222022E-3</v>
      </c>
      <c r="O12" s="114">
        <f t="shared" ref="O12:O53" si="10">2*PI()/$A12</f>
        <v>4.6542113386515451</v>
      </c>
      <c r="P12" s="111">
        <f t="shared" ref="P12:P53" si="11">W12</f>
        <v>3.0792037579601255</v>
      </c>
      <c r="Q12" s="113">
        <v>1.549621211275102</v>
      </c>
      <c r="R12" s="107">
        <f t="shared" ref="R12:R53" si="12">R$5+R$6/$A12^2+R$7/$A12^4</f>
        <v>1.5722447590607425</v>
      </c>
      <c r="S12" s="115">
        <v>0.90808636363636375</v>
      </c>
      <c r="T12" s="107">
        <f>$D$5</f>
        <v>5</v>
      </c>
      <c r="U12" s="111">
        <f t="shared" ref="U12:U53" si="13">180/PI()*ASIN(SIN($T12*PI()/180)/$Q12)</f>
        <v>3.2242025858728969</v>
      </c>
      <c r="V12" s="111">
        <f t="shared" ref="V12:V53" si="14">U12-$D$7</f>
        <v>3.1242025858728968</v>
      </c>
      <c r="W12" s="111">
        <f t="shared" ref="W12:W53" si="15">180/PI()*ASIN($Q12*SIN($V12*PI()/180)/$R12)</f>
        <v>3.0792037579601255</v>
      </c>
      <c r="X12" s="111">
        <f t="shared" ref="X12:X53" si="16">180/PI()*ASIN($D$4*1*$A12+$R12*SIN(PI()/180*$W12))</f>
        <v>5.7582481290935741</v>
      </c>
      <c r="Y12" s="116"/>
      <c r="Z12" s="116">
        <v>5.2728322120765422E-6</v>
      </c>
      <c r="AA12" s="113">
        <f t="shared" ref="AA12:AP27" si="17">$M$5*AA$10+($O12*$R12*COS(PI()/180*$P12)-($O12^2*1^2-($O12*$R12*SIN(PI()/180*$P12)+$M$5*AA$10)^2)^0.5)*TAN(PI()/180*$D$6)</f>
        <v>1.5405977448346819E-2</v>
      </c>
      <c r="AB12" s="113">
        <f t="shared" si="17"/>
        <v>-5.8634772800266577E-2</v>
      </c>
      <c r="AC12" s="113">
        <f t="shared" si="17"/>
        <v>-0.13263603103373406</v>
      </c>
      <c r="AD12" s="113">
        <f t="shared" si="17"/>
        <v>8.9486334397501546E-2</v>
      </c>
      <c r="AE12" s="113">
        <f t="shared" si="17"/>
        <v>0.1636064435516629</v>
      </c>
      <c r="AF12" s="113">
        <f t="shared" si="17"/>
        <v>0.23776648179611054</v>
      </c>
      <c r="AG12" s="113">
        <f t="shared" si="17"/>
        <v>0.31196665808598179</v>
      </c>
      <c r="AH12" s="113">
        <f t="shared" si="17"/>
        <v>0.38620721426895627</v>
      </c>
      <c r="AI12" s="113">
        <f t="shared" si="17"/>
        <v>0.46048842604926643</v>
      </c>
      <c r="AJ12" s="113">
        <f t="shared" si="17"/>
        <v>0.53481060410219028</v>
      </c>
      <c r="AK12" s="113">
        <f t="shared" si="17"/>
        <v>0.60917409534981759</v>
      </c>
      <c r="AL12" s="113">
        <f t="shared" si="17"/>
        <v>0.68357928441070603</v>
      </c>
      <c r="AM12" s="113">
        <f t="shared" si="17"/>
        <v>0.75802659523809879</v>
      </c>
      <c r="AN12" s="113">
        <f t="shared" si="17"/>
        <v>0.83251649296371222</v>
      </c>
      <c r="AO12" s="113">
        <f t="shared" si="17"/>
        <v>0.90704948596676604</v>
      </c>
      <c r="AP12" s="113">
        <f t="shared" si="17"/>
        <v>0.98162612819098138</v>
      </c>
      <c r="AQ12" s="113">
        <f t="shared" ref="AQ12:BF27" si="18">$M$5*AQ$10+($O12*$R12*COS(PI()/180*$P12)-($O12^2*1^2-($O12*$R12*SIN(PI()/180*$P12)+$M$5*AQ$10)^2)^0.5)*TAN(PI()/180*$D$6)</f>
        <v>1.0562470217358131</v>
      </c>
      <c r="AR12" s="113">
        <f t="shared" si="18"/>
        <v>-0.20659788155793316</v>
      </c>
      <c r="AS12" s="113">
        <f t="shared" si="18"/>
        <v>-0.28052037862053936</v>
      </c>
      <c r="AT12" s="113">
        <f t="shared" si="18"/>
        <v>-0.35440354661697454</v>
      </c>
      <c r="AU12" s="113">
        <f t="shared" si="18"/>
        <v>-0.42824738018281722</v>
      </c>
      <c r="AV12" s="113">
        <f t="shared" si="18"/>
        <v>-0.50205184417349347</v>
      </c>
      <c r="AW12" s="113">
        <f t="shared" si="18"/>
        <v>-0.57581687353106681</v>
      </c>
      <c r="AX12" s="113">
        <f t="shared" si="18"/>
        <v>-0.64954237303694962</v>
      </c>
      <c r="AY12" s="113">
        <f t="shared" si="18"/>
        <v>-0.72322821694833384</v>
      </c>
      <c r="AZ12" s="113">
        <f t="shared" si="18"/>
        <v>-0.79687424851508637</v>
      </c>
      <c r="BA12" s="113">
        <f t="shared" si="18"/>
        <v>-0.87048027937274819</v>
      </c>
      <c r="BB12" s="113">
        <f t="shared" si="18"/>
        <v>-0.94404608880609431</v>
      </c>
      <c r="BC12" s="113">
        <f t="shared" si="18"/>
        <v>-1.0175714228764423</v>
      </c>
      <c r="BD12" s="113">
        <f t="shared" si="18"/>
        <v>-1.0910559934045103</v>
      </c>
      <c r="BE12" s="113">
        <f t="shared" si="18"/>
        <v>-1.1644994767990979</v>
      </c>
      <c r="BF12" s="113">
        <f t="shared" si="18"/>
        <v>-1.2379015127201671</v>
      </c>
      <c r="BG12" s="113">
        <f t="shared" ref="BG12:BI27" si="19">$M$5*BG$10+($O12*$R12*COS(PI()/180*$P12)-($O12^2*1^2-($O12*$R12*SIN(PI()/180*$P12)+$M$5*BG$10)^2)^0.5)*TAN(PI()/180*$D$6)</f>
        <v>-1.3112617025629918</v>
      </c>
      <c r="BH12" s="113">
        <f t="shared" si="19"/>
        <v>-1.3845796077478965</v>
      </c>
      <c r="BI12" s="113">
        <f t="shared" si="19"/>
        <v>-1.4578547477976576</v>
      </c>
    </row>
    <row r="13" spans="1:61" s="112" customFormat="1">
      <c r="A13" s="113">
        <f t="shared" ref="A13:A53" si="20">A12+$B$9</f>
        <v>1.365</v>
      </c>
      <c r="B13" s="110">
        <f t="shared" si="4"/>
        <v>0.47911819185296017</v>
      </c>
      <c r="C13" s="159">
        <f t="shared" si="5"/>
        <v>0.78329639176224208</v>
      </c>
      <c r="D13" s="113">
        <f t="shared" si="5"/>
        <v>4.5109478846727905E-2</v>
      </c>
      <c r="E13" s="113">
        <f t="shared" si="5"/>
        <v>8.9080373504085673E-3</v>
      </c>
      <c r="F13" s="113">
        <f t="shared" si="5"/>
        <v>2.1134345735937445E-2</v>
      </c>
      <c r="G13" s="113">
        <f t="shared" si="5"/>
        <v>6.399719564012675E-3</v>
      </c>
      <c r="H13" s="113">
        <f t="shared" si="5"/>
        <v>3.0999236063328794E-3</v>
      </c>
      <c r="I13" s="113"/>
      <c r="J13" s="113"/>
      <c r="K13" s="113">
        <f t="shared" si="6"/>
        <v>0.87606564092995931</v>
      </c>
      <c r="L13" s="107">
        <f t="shared" si="7"/>
        <v>0.86794789686566154</v>
      </c>
      <c r="M13" s="111">
        <f t="shared" si="8"/>
        <v>0.88179633804814017</v>
      </c>
      <c r="N13" s="113">
        <f t="shared" si="9"/>
        <v>8.1177440642977352E-3</v>
      </c>
      <c r="O13" s="114">
        <f t="shared" si="10"/>
        <v>4.6030661591059241</v>
      </c>
      <c r="P13" s="111">
        <f t="shared" si="11"/>
        <v>3.0796020437981806</v>
      </c>
      <c r="Q13" s="113">
        <f>Q14</f>
        <v>1.546814140850068</v>
      </c>
      <c r="R13" s="107">
        <f t="shared" si="12"/>
        <v>1.5721329551252805</v>
      </c>
      <c r="S13" s="115">
        <v>0.90808636363636375</v>
      </c>
      <c r="T13" s="107">
        <f t="shared" ref="T13:T53" si="21">T12</f>
        <v>5</v>
      </c>
      <c r="U13" s="111">
        <f t="shared" si="13"/>
        <v>3.2300598863793244</v>
      </c>
      <c r="V13" s="111">
        <f t="shared" si="14"/>
        <v>3.1300598863793243</v>
      </c>
      <c r="W13" s="111">
        <f t="shared" si="15"/>
        <v>3.0796020437981806</v>
      </c>
      <c r="X13" s="111">
        <f t="shared" si="16"/>
        <v>5.7686890367809749</v>
      </c>
      <c r="Y13" s="117">
        <v>1.607</v>
      </c>
      <c r="Z13" s="117">
        <v>6.0263876442904138E-2</v>
      </c>
      <c r="AA13" s="113">
        <f t="shared" si="17"/>
        <v>1.4405565405823384E-2</v>
      </c>
      <c r="AB13" s="113">
        <f t="shared" si="17"/>
        <v>-5.9634538115904537E-2</v>
      </c>
      <c r="AC13" s="113">
        <f t="shared" si="17"/>
        <v>-0.13363471296086882</v>
      </c>
      <c r="AD13" s="113">
        <f t="shared" si="17"/>
        <v>8.8485714342361146E-2</v>
      </c>
      <c r="AE13" s="113">
        <f t="shared" si="17"/>
        <v>0.16260605728447924</v>
      </c>
      <c r="AF13" s="113">
        <f t="shared" si="17"/>
        <v>0.23676677526214429</v>
      </c>
      <c r="AG13" s="113">
        <f t="shared" si="17"/>
        <v>0.3109680824655302</v>
      </c>
      <c r="AH13" s="113">
        <f t="shared" si="17"/>
        <v>0.38521022710735431</v>
      </c>
      <c r="AI13" s="113">
        <f t="shared" si="17"/>
        <v>0.45949349243477611</v>
      </c>
      <c r="AJ13" s="113">
        <f t="shared" si="17"/>
        <v>0.53381819790069085</v>
      </c>
      <c r="AK13" s="113">
        <f t="shared" si="17"/>
        <v>0.60818470050602147</v>
      </c>
      <c r="AL13" s="113">
        <f t="shared" si="17"/>
        <v>0.68259339632659732</v>
      </c>
      <c r="AM13" s="113">
        <f t="shared" si="17"/>
        <v>0.75704472224044261</v>
      </c>
      <c r="AN13" s="113">
        <f t="shared" si="17"/>
        <v>0.83153915787384414</v>
      </c>
      <c r="AO13" s="113">
        <f t="shared" si="17"/>
        <v>0.90607722778747934</v>
      </c>
      <c r="AP13" s="113">
        <f t="shared" si="17"/>
        <v>0.98065950392722623</v>
      </c>
      <c r="AQ13" s="113">
        <f t="shared" si="18"/>
        <v>1.0552866083681565</v>
      </c>
      <c r="AR13" s="113">
        <f t="shared" si="18"/>
        <v>-0.20759504447177474</v>
      </c>
      <c r="AS13" s="113">
        <f t="shared" si="18"/>
        <v>-0.28151558692848944</v>
      </c>
      <c r="AT13" s="113">
        <f t="shared" si="18"/>
        <v>-0.35539636375869932</v>
      </c>
      <c r="AU13" s="113">
        <f t="shared" si="18"/>
        <v>-0.42923736762863418</v>
      </c>
      <c r="AV13" s="113">
        <f t="shared" si="18"/>
        <v>-0.50303856041468031</v>
      </c>
      <c r="AW13" s="113">
        <f t="shared" si="18"/>
        <v>-0.57679987305562397</v>
      </c>
      <c r="AX13" s="113">
        <f t="shared" si="18"/>
        <v>-0.65052120528418766</v>
      </c>
      <c r="AY13" s="113">
        <f t="shared" si="18"/>
        <v>-0.72420242523541722</v>
      </c>
      <c r="AZ13" s="113">
        <f t="shared" si="18"/>
        <v>-0.79784336892832941</v>
      </c>
      <c r="BA13" s="113">
        <f t="shared" si="18"/>
        <v>-0.87144383961603322</v>
      </c>
      <c r="BB13" s="113">
        <f t="shared" si="18"/>
        <v>-0.94500360699824815</v>
      </c>
      <c r="BC13" s="113">
        <f t="shared" si="18"/>
        <v>-1.0185224062887575</v>
      </c>
      <c r="BD13" s="113">
        <f t="shared" si="18"/>
        <v>-1.0919999371288185</v>
      </c>
      <c r="BE13" s="113">
        <f t="shared" si="18"/>
        <v>-1.1654358623358776</v>
      </c>
      <c r="BF13" s="113">
        <f t="shared" si="18"/>
        <v>-1.2388298064750671</v>
      </c>
      <c r="BG13" s="113">
        <f t="shared" si="19"/>
        <v>-1.3121813542388663</v>
      </c>
      <c r="BH13" s="113">
        <f t="shared" si="19"/>
        <v>-1.3854900486179293</v>
      </c>
      <c r="BI13" s="113">
        <f t="shared" si="19"/>
        <v>-1.4587553888433715</v>
      </c>
    </row>
    <row r="14" spans="1:61" s="112" customFormat="1">
      <c r="A14" s="113">
        <f t="shared" si="20"/>
        <v>1.38</v>
      </c>
      <c r="B14" s="110">
        <f t="shared" si="4"/>
        <v>0.48438322692826746</v>
      </c>
      <c r="C14" s="159">
        <f t="shared" si="5"/>
        <v>0.79655243541009668</v>
      </c>
      <c r="D14" s="113">
        <f t="shared" si="5"/>
        <v>3.8535305154910847E-2</v>
      </c>
      <c r="E14" s="113">
        <f t="shared" si="5"/>
        <v>7.742685963927542E-3</v>
      </c>
      <c r="F14" s="113">
        <f t="shared" si="5"/>
        <v>1.9123763712225249E-2</v>
      </c>
      <c r="G14" s="113">
        <f t="shared" si="5"/>
        <v>5.744411311549606E-3</v>
      </c>
      <c r="H14" s="113">
        <f t="shared" si="5"/>
        <v>2.7790375344065193E-3</v>
      </c>
      <c r="I14" s="113"/>
      <c r="J14" s="113"/>
      <c r="K14" s="113">
        <f t="shared" si="6"/>
        <v>0.87856094105462057</v>
      </c>
      <c r="L14" s="107">
        <f t="shared" si="7"/>
        <v>0.87047763908711651</v>
      </c>
      <c r="M14" s="111">
        <f t="shared" si="8"/>
        <v>0.88181490245107064</v>
      </c>
      <c r="N14" s="113">
        <f t="shared" si="9"/>
        <v>8.0833019675040831E-3</v>
      </c>
      <c r="O14" s="114">
        <f t="shared" si="10"/>
        <v>4.5530328312895554</v>
      </c>
      <c r="P14" s="111">
        <f t="shared" si="11"/>
        <v>3.0798144054932028</v>
      </c>
      <c r="Q14" s="113">
        <v>1.546814140850068</v>
      </c>
      <c r="R14" s="107">
        <f t="shared" si="12"/>
        <v>1.5720246566381324</v>
      </c>
      <c r="S14" s="115">
        <v>0.90808636363636375</v>
      </c>
      <c r="T14" s="107">
        <f t="shared" si="21"/>
        <v>5</v>
      </c>
      <c r="U14" s="111">
        <f t="shared" si="13"/>
        <v>3.2300598863793244</v>
      </c>
      <c r="V14" s="111">
        <f t="shared" si="14"/>
        <v>3.1300598863793243</v>
      </c>
      <c r="W14" s="111">
        <f t="shared" si="15"/>
        <v>3.0798144054932028</v>
      </c>
      <c r="X14" s="111">
        <f t="shared" si="16"/>
        <v>5.7788475477355128</v>
      </c>
      <c r="Y14" s="117">
        <v>1.607</v>
      </c>
      <c r="Z14" s="117">
        <v>6.6877320261951284E-2</v>
      </c>
      <c r="AA14" s="113">
        <f t="shared" si="17"/>
        <v>1.3427430848109462E-2</v>
      </c>
      <c r="AB14" s="113">
        <f t="shared" si="17"/>
        <v>-6.0612013756099176E-2</v>
      </c>
      <c r="AC14" s="113">
        <f t="shared" si="17"/>
        <v>-0.13461109308441171</v>
      </c>
      <c r="AD14" s="113">
        <f t="shared" si="17"/>
        <v>8.7507359514937572E-2</v>
      </c>
      <c r="AE14" s="113">
        <f t="shared" si="17"/>
        <v>0.16162792394008557</v>
      </c>
      <c r="AF14" s="113">
        <f t="shared" si="17"/>
        <v>0.2357893093401805</v>
      </c>
      <c r="AG14" s="113">
        <f t="shared" si="17"/>
        <v>0.30999173520682943</v>
      </c>
      <c r="AH14" s="113">
        <f t="shared" si="17"/>
        <v>0.38423545621003097</v>
      </c>
      <c r="AI14" s="113">
        <f t="shared" si="17"/>
        <v>0.4585207632597682</v>
      </c>
      <c r="AJ14" s="113">
        <f t="shared" si="17"/>
        <v>0.53284798473633321</v>
      </c>
      <c r="AK14" s="113">
        <f t="shared" si="17"/>
        <v>0.60721748790184993</v>
      </c>
      <c r="AL14" s="113">
        <f t="shared" si="17"/>
        <v>0.68162968050761974</v>
      </c>
      <c r="AM14" s="113">
        <f t="shared" si="17"/>
        <v>0.75608501261433858</v>
      </c>
      <c r="AN14" s="113">
        <f t="shared" si="17"/>
        <v>0.83058397864501587</v>
      </c>
      <c r="AO14" s="113">
        <f t="shared" si="17"/>
        <v>0.90512711969359039</v>
      </c>
      <c r="AP14" s="113">
        <f t="shared" si="17"/>
        <v>0.97971502611590444</v>
      </c>
      <c r="AQ14" s="113">
        <f t="shared" si="18"/>
        <v>1.0543483404339378</v>
      </c>
      <c r="AR14" s="113">
        <f t="shared" si="18"/>
        <v>-0.20856989349023397</v>
      </c>
      <c r="AS14" s="113">
        <f t="shared" si="18"/>
        <v>-0.28248846923749582</v>
      </c>
      <c r="AT14" s="113">
        <f t="shared" si="18"/>
        <v>-0.35636684271588237</v>
      </c>
      <c r="AU14" s="113">
        <f t="shared" si="18"/>
        <v>-0.43020500452945182</v>
      </c>
      <c r="AV14" s="113">
        <f t="shared" si="18"/>
        <v>-0.50400291345946013</v>
      </c>
      <c r="AW14" s="113">
        <f t="shared" si="18"/>
        <v>-0.57776049630104798</v>
      </c>
      <c r="AX14" s="113">
        <f t="shared" si="18"/>
        <v>-0.65147764757227744</v>
      </c>
      <c r="AY14" s="113">
        <f t="shared" si="18"/>
        <v>-0.72515422909281202</v>
      </c>
      <c r="AZ14" s="113">
        <f t="shared" si="18"/>
        <v>-0.79879006942828956</v>
      </c>
      <c r="BA14" s="113">
        <f t="shared" si="18"/>
        <v>-0.87238496319513648</v>
      </c>
      <c r="BB14" s="113">
        <f t="shared" si="18"/>
        <v>-0.94593867021917066</v>
      </c>
      <c r="BC14" s="113">
        <f t="shared" si="18"/>
        <v>-1.0194509145398263</v>
      </c>
      <c r="BD14" s="113">
        <f t="shared" si="18"/>
        <v>-1.0929213832501794</v>
      </c>
      <c r="BE14" s="113">
        <f t="shared" si="18"/>
        <v>-1.1663497251611172</v>
      </c>
      <c r="BF14" s="113">
        <f t="shared" si="18"/>
        <v>-1.2397355492759359</v>
      </c>
      <c r="BG14" s="113">
        <f t="shared" si="19"/>
        <v>-1.3130784230593506</v>
      </c>
      <c r="BH14" s="113">
        <f t="shared" si="19"/>
        <v>-1.3863778704822669</v>
      </c>
      <c r="BI14" s="113">
        <f t="shared" si="19"/>
        <v>-1.4596333698206627</v>
      </c>
    </row>
    <row r="15" spans="1:61">
      <c r="A15" s="113">
        <f t="shared" si="20"/>
        <v>1.3949999999999998</v>
      </c>
      <c r="B15" s="110">
        <f t="shared" si="4"/>
        <v>0.4896482620035747</v>
      </c>
      <c r="C15" s="159">
        <f t="shared" si="5"/>
        <v>0.80876980787988983</v>
      </c>
      <c r="D15" s="113">
        <f t="shared" si="5"/>
        <v>3.2668506532673919E-2</v>
      </c>
      <c r="E15" s="113">
        <f t="shared" si="5"/>
        <v>6.6727833433061264E-3</v>
      </c>
      <c r="F15" s="113">
        <f t="shared" si="5"/>
        <v>1.7152703161642205E-2</v>
      </c>
      <c r="G15" s="113">
        <f t="shared" si="5"/>
        <v>5.1124501257279811E-3</v>
      </c>
      <c r="H15" s="113">
        <f t="shared" si="5"/>
        <v>2.4710273190836495E-3</v>
      </c>
      <c r="I15" s="113"/>
      <c r="J15" s="113"/>
      <c r="K15" s="113">
        <f t="shared" si="6"/>
        <v>0.88180533528491267</v>
      </c>
      <c r="L15" s="107">
        <f t="shared" si="7"/>
        <v>0.87284727836232379</v>
      </c>
      <c r="M15" s="111">
        <f t="shared" si="8"/>
        <v>0.88183289169161527</v>
      </c>
      <c r="N15" s="113">
        <f t="shared" si="9"/>
        <v>8.9580569225888463E-3</v>
      </c>
      <c r="O15" s="114">
        <f t="shared" si="10"/>
        <v>4.5040754890176249</v>
      </c>
      <c r="P15" s="111">
        <f t="shared" si="11"/>
        <v>3.0801993222302357</v>
      </c>
      <c r="Q15" s="111">
        <v>1.5440070704250339</v>
      </c>
      <c r="R15" s="107">
        <f t="shared" si="12"/>
        <v>1.5719197199801027</v>
      </c>
      <c r="S15" s="115">
        <v>0.90808636363636375</v>
      </c>
      <c r="T15" s="107">
        <f t="shared" si="21"/>
        <v>5</v>
      </c>
      <c r="U15" s="111">
        <f t="shared" si="13"/>
        <v>3.2359385185052276</v>
      </c>
      <c r="V15" s="111">
        <f t="shared" si="14"/>
        <v>3.1359385185052275</v>
      </c>
      <c r="W15" s="111">
        <f t="shared" si="15"/>
        <v>3.0801993222302357</v>
      </c>
      <c r="X15" s="111">
        <f t="shared" si="16"/>
        <v>5.7892888366270396</v>
      </c>
      <c r="Y15" s="115">
        <v>1.607</v>
      </c>
      <c r="Z15" s="115">
        <v>0.45026937903197911</v>
      </c>
      <c r="AA15" s="113">
        <f t="shared" si="17"/>
        <v>1.247085517901432E-2</v>
      </c>
      <c r="AB15" s="113">
        <f t="shared" si="17"/>
        <v>-6.1567942760357916E-2</v>
      </c>
      <c r="AC15" s="113">
        <f t="shared" si="17"/>
        <v>-0.13556593882482065</v>
      </c>
      <c r="AD15" s="113">
        <f t="shared" si="17"/>
        <v>8.6550575843891281E-2</v>
      </c>
      <c r="AE15" s="113">
        <f t="shared" si="17"/>
        <v>0.16067137407326404</v>
      </c>
      <c r="AF15" s="113">
        <f t="shared" si="17"/>
        <v>0.23483343933279538</v>
      </c>
      <c r="AG15" s="113">
        <f t="shared" si="17"/>
        <v>0.30903699650310301</v>
      </c>
      <c r="AH15" s="113">
        <f t="shared" si="17"/>
        <v>0.38328230682579933</v>
      </c>
      <c r="AI15" s="113">
        <f t="shared" si="17"/>
        <v>0.45756966901673479</v>
      </c>
      <c r="AJ15" s="113">
        <f t="shared" si="17"/>
        <v>0.53189942055775374</v>
      </c>
      <c r="AK15" s="113">
        <f t="shared" si="17"/>
        <v>0.60627193918035294</v>
      </c>
      <c r="AL15" s="113">
        <f t="shared" si="17"/>
        <v>0.68068764455696629</v>
      </c>
      <c r="AM15" s="113">
        <f t="shared" si="17"/>
        <v>0.75514700021823966</v>
      </c>
      <c r="AN15" s="113">
        <f t="shared" si="17"/>
        <v>0.82965051571767845</v>
      </c>
      <c r="AO15" s="113">
        <f t="shared" si="17"/>
        <v>0.90419874906851239</v>
      </c>
      <c r="AP15" s="113">
        <f t="shared" si="17"/>
        <v>0.97879230948161455</v>
      </c>
      <c r="AQ15" s="113">
        <f t="shared" si="18"/>
        <v>1.0534318604379658</v>
      </c>
      <c r="AR15" s="113">
        <f t="shared" si="18"/>
        <v>-0.2095232203710386</v>
      </c>
      <c r="AS15" s="113">
        <f t="shared" si="18"/>
        <v>-0.28343984161715113</v>
      </c>
      <c r="AT15" s="113">
        <f t="shared" si="18"/>
        <v>-0.35731582386250449</v>
      </c>
      <c r="AU15" s="113">
        <f t="shared" si="18"/>
        <v>-0.43115115557379424</v>
      </c>
      <c r="AV15" s="113">
        <f t="shared" si="18"/>
        <v>-0.5049457923384334</v>
      </c>
      <c r="AW15" s="113">
        <f t="shared" si="18"/>
        <v>-0.57869965668470302</v>
      </c>
      <c r="AX15" s="113">
        <f t="shared" si="18"/>
        <v>-0.65241263776698477</v>
      </c>
      <c r="AY15" s="113">
        <f t="shared" si="18"/>
        <v>-0.7260845909130802</v>
      </c>
      <c r="AZ15" s="113">
        <f t="shared" si="18"/>
        <v>-0.799715337029277</v>
      </c>
      <c r="BA15" s="113">
        <f t="shared" si="18"/>
        <v>-0.87330466185740963</v>
      </c>
      <c r="BB15" s="113">
        <f t="shared" si="18"/>
        <v>-0.94685231507663681</v>
      </c>
      <c r="BC15" s="113">
        <f t="shared" si="18"/>
        <v>-1.0203580092410107</v>
      </c>
      <c r="BD15" s="113">
        <f t="shared" si="18"/>
        <v>-1.0938214185421038</v>
      </c>
      <c r="BE15" s="113">
        <f t="shared" si="18"/>
        <v>-1.1672421773839452</v>
      </c>
      <c r="BF15" s="113">
        <f t="shared" si="18"/>
        <v>-1.2406198787552689</v>
      </c>
      <c r="BG15" s="113">
        <f t="shared" si="19"/>
        <v>-1.3139540723815275</v>
      </c>
      <c r="BH15" s="113">
        <f t="shared" si="19"/>
        <v>-1.3872442626362333</v>
      </c>
      <c r="BI15" s="113">
        <f t="shared" si="19"/>
        <v>-1.4604899061878593</v>
      </c>
    </row>
    <row r="16" spans="1:61">
      <c r="A16" s="113">
        <f t="shared" si="20"/>
        <v>1.4099999999999997</v>
      </c>
      <c r="B16" s="110">
        <f t="shared" si="4"/>
        <v>0.49491329707888188</v>
      </c>
      <c r="C16" s="159">
        <f t="shared" si="5"/>
        <v>0.81997639917394827</v>
      </c>
      <c r="D16" s="113">
        <f t="shared" si="5"/>
        <v>2.7456449231454589E-2</v>
      </c>
      <c r="E16" s="113">
        <f t="shared" si="5"/>
        <v>5.6965323404804249E-3</v>
      </c>
      <c r="F16" s="113">
        <f t="shared" si="5"/>
        <v>1.5236757876987974E-2</v>
      </c>
      <c r="G16" s="113">
        <f t="shared" si="5"/>
        <v>4.5077325402779174E-3</v>
      </c>
      <c r="H16" s="113">
        <f t="shared" si="5"/>
        <v>2.1775632045941897E-3</v>
      </c>
      <c r="I16" s="113"/>
      <c r="J16" s="113"/>
      <c r="K16" s="113">
        <f t="shared" si="6"/>
        <v>0.88488690870437692</v>
      </c>
      <c r="L16" s="107">
        <f t="shared" si="7"/>
        <v>0.87505143436774335</v>
      </c>
      <c r="M16" s="111">
        <f t="shared" si="8"/>
        <v>0.88185032905204375</v>
      </c>
      <c r="N16" s="113">
        <f t="shared" si="9"/>
        <v>9.83547433663352E-3</v>
      </c>
      <c r="O16" s="114">
        <f t="shared" si="10"/>
        <v>4.4561597923259484</v>
      </c>
      <c r="P16" s="111">
        <f t="shared" si="11"/>
        <v>3.080577964003453</v>
      </c>
      <c r="Q16" s="111">
        <v>1.5411999999999999</v>
      </c>
      <c r="R16" s="107">
        <f t="shared" si="12"/>
        <v>1.5718180087343849</v>
      </c>
      <c r="S16" s="115">
        <v>0.90808636363636375</v>
      </c>
      <c r="T16" s="107">
        <f t="shared" si="21"/>
        <v>5</v>
      </c>
      <c r="U16" s="111">
        <f t="shared" si="13"/>
        <v>3.2418385990566931</v>
      </c>
      <c r="V16" s="111">
        <f t="shared" si="14"/>
        <v>3.141838599056693</v>
      </c>
      <c r="W16" s="111">
        <f t="shared" si="15"/>
        <v>3.080577964003453</v>
      </c>
      <c r="X16" s="111">
        <f t="shared" si="16"/>
        <v>5.7997303200810988</v>
      </c>
      <c r="Y16" s="115">
        <v>1.6015000000000001</v>
      </c>
      <c r="Z16" s="115">
        <v>0.61150282759885011</v>
      </c>
      <c r="AA16" s="113">
        <f t="shared" si="17"/>
        <v>1.1535119117117465E-2</v>
      </c>
      <c r="AB16" s="113">
        <f t="shared" si="17"/>
        <v>-6.2503032187970597E-2</v>
      </c>
      <c r="AC16" s="113">
        <f t="shared" si="17"/>
        <v>-0.13649994504961888</v>
      </c>
      <c r="AD16" s="113">
        <f t="shared" si="17"/>
        <v>8.5614631785284417E-2</v>
      </c>
      <c r="AE16" s="113">
        <f t="shared" si="17"/>
        <v>0.15973566382723509</v>
      </c>
      <c r="AF16" s="113">
        <f t="shared" si="17"/>
        <v>0.2338984090101669</v>
      </c>
      <c r="AG16" s="113">
        <f t="shared" si="17"/>
        <v>0.3081030976814545</v>
      </c>
      <c r="AH16" s="113">
        <f t="shared" si="17"/>
        <v>0.38234999775886758</v>
      </c>
      <c r="AI16" s="113">
        <f t="shared" si="17"/>
        <v>0.45663941589742529</v>
      </c>
      <c r="AJ16" s="113">
        <f t="shared" si="17"/>
        <v>0.53097169884500572</v>
      </c>
      <c r="AK16" s="113">
        <f t="shared" si="17"/>
        <v>0.60534723500107823</v>
      </c>
      <c r="AL16" s="113">
        <f t="shared" si="17"/>
        <v>0.6797664561954545</v>
      </c>
      <c r="AM16" s="113">
        <f t="shared" si="17"/>
        <v>0.75422983970682311</v>
      </c>
      <c r="AN16" s="113">
        <f t="shared" si="17"/>
        <v>0.8287379105441125</v>
      </c>
      <c r="AO16" s="113">
        <f t="shared" si="17"/>
        <v>0.90329124401749583</v>
      </c>
      <c r="AP16" s="113">
        <f t="shared" si="17"/>
        <v>0.97789046863022067</v>
      </c>
      <c r="AQ16" s="113">
        <f t="shared" si="18"/>
        <v>1.0525362693275251</v>
      </c>
      <c r="AR16" s="113">
        <f t="shared" si="18"/>
        <v>-0.21045570781016848</v>
      </c>
      <c r="AS16" s="113">
        <f t="shared" si="18"/>
        <v>-0.28437037460181458</v>
      </c>
      <c r="AT16" s="113">
        <f t="shared" si="18"/>
        <v>-0.35824396557071581</v>
      </c>
      <c r="AU16" s="113">
        <f t="shared" si="18"/>
        <v>-0.43207646696023283</v>
      </c>
      <c r="AV16" s="113">
        <f t="shared" si="18"/>
        <v>-0.50586783105410005</v>
      </c>
      <c r="AW16" s="113">
        <f t="shared" si="18"/>
        <v>-0.57961797597897979</v>
      </c>
      <c r="AX16" s="113">
        <f t="shared" si="18"/>
        <v>-0.65332678536449029</v>
      </c>
      <c r="AY16" s="113">
        <f t="shared" si="18"/>
        <v>-0.72699410785740182</v>
      </c>
      <c r="AZ16" s="113">
        <f t="shared" si="18"/>
        <v>-0.8006197564852372</v>
      </c>
      <c r="BA16" s="113">
        <f t="shared" si="18"/>
        <v>-0.87420350786298484</v>
      </c>
      <c r="BB16" s="113">
        <f t="shared" si="18"/>
        <v>-0.94774510123497058</v>
      </c>
      <c r="BC16" s="113">
        <f t="shared" si="18"/>
        <v>-1.0212442373421449</v>
      </c>
      <c r="BD16" s="113">
        <f t="shared" si="18"/>
        <v>-1.0947005771030618</v>
      </c>
      <c r="BE16" s="113">
        <f t="shared" si="18"/>
        <v>-1.1681137400946269</v>
      </c>
      <c r="BF16" s="113">
        <f t="shared" si="18"/>
        <v>-1.2414833028162182</v>
      </c>
      <c r="BG16" s="113">
        <f t="shared" si="19"/>
        <v>-1.3148087967179822</v>
      </c>
      <c r="BH16" s="113">
        <f t="shared" si="19"/>
        <v>-1.3880897059709194</v>
      </c>
      <c r="BI16" s="113">
        <f t="shared" si="19"/>
        <v>-1.4613254649526894</v>
      </c>
    </row>
    <row r="17" spans="1:61">
      <c r="A17" s="113">
        <f t="shared" si="20"/>
        <v>1.4249999999999996</v>
      </c>
      <c r="B17" s="110">
        <f t="shared" si="4"/>
        <v>0.50017833215418916</v>
      </c>
      <c r="C17" s="159">
        <f t="shared" si="5"/>
        <v>0.83020204993941793</v>
      </c>
      <c r="D17" s="113">
        <f t="shared" si="5"/>
        <v>2.2849225936041922E-2</v>
      </c>
      <c r="E17" s="113">
        <f t="shared" si="5"/>
        <v>4.8115324237759955E-3</v>
      </c>
      <c r="F17" s="113">
        <f t="shared" si="5"/>
        <v>1.3390201079824896E-2</v>
      </c>
      <c r="G17" s="113">
        <f t="shared" si="5"/>
        <v>3.9336223653938735E-3</v>
      </c>
      <c r="H17" s="113">
        <f t="shared" si="5"/>
        <v>1.9000481934344437E-3</v>
      </c>
      <c r="I17" s="113"/>
      <c r="J17" s="113"/>
      <c r="K17" s="113">
        <f>L17+N17</f>
        <v>0.88689078643955765</v>
      </c>
      <c r="L17" s="107">
        <f>SUM(C17:H17)</f>
        <v>0.87708667993788902</v>
      </c>
      <c r="M17" s="111">
        <f>SQRT(2*1/(1+R17))</f>
        <v>0.88186723666116174</v>
      </c>
      <c r="N17" s="113">
        <f t="shared" si="9"/>
        <v>9.804106501668651E-3</v>
      </c>
      <c r="O17" s="114">
        <f t="shared" si="10"/>
        <v>4.4092528471435708</v>
      </c>
      <c r="P17" s="111">
        <f>W17</f>
        <v>3.0807714373119075</v>
      </c>
      <c r="Q17" s="111">
        <v>1.5411999999999999</v>
      </c>
      <c r="R17" s="107">
        <f t="shared" si="12"/>
        <v>1.5717193932626567</v>
      </c>
      <c r="S17" s="115">
        <v>0.90808636363636375</v>
      </c>
      <c r="T17" s="107">
        <f>T16</f>
        <v>5</v>
      </c>
      <c r="U17" s="111">
        <f t="shared" si="13"/>
        <v>3.2418385990566931</v>
      </c>
      <c r="V17" s="111">
        <f t="shared" si="14"/>
        <v>3.141838599056693</v>
      </c>
      <c r="W17" s="111">
        <f t="shared" si="15"/>
        <v>3.0807714373119075</v>
      </c>
      <c r="X17" s="111">
        <f t="shared" si="16"/>
        <v>5.8098893890521417</v>
      </c>
      <c r="Y17" s="115">
        <v>1.6015000000000001</v>
      </c>
      <c r="Z17" s="115">
        <v>0.61150282759885011</v>
      </c>
      <c r="AA17" s="113">
        <f t="shared" si="17"/>
        <v>1.0619535191427207E-2</v>
      </c>
      <c r="AB17" s="113">
        <f t="shared" si="17"/>
        <v>-6.3417957289848045E-2</v>
      </c>
      <c r="AC17" s="113">
        <f t="shared" si="17"/>
        <v>-0.13741377482048772</v>
      </c>
      <c r="AD17" s="113">
        <f t="shared" si="17"/>
        <v>8.4698827606311519E-2</v>
      </c>
      <c r="AE17" s="113">
        <f t="shared" si="17"/>
        <v>0.1588200811548304</v>
      </c>
      <c r="AF17" s="113">
        <f t="shared" si="17"/>
        <v>0.23298349394743134</v>
      </c>
      <c r="AG17" s="113">
        <f t="shared" si="17"/>
        <v>0.30718930186522048</v>
      </c>
      <c r="AH17" s="113">
        <f t="shared" si="17"/>
        <v>0.38143777959589409</v>
      </c>
      <c r="AI17" s="113">
        <f t="shared" si="17"/>
        <v>0.45572924185616404</v>
      </c>
      <c r="AJ17" s="113">
        <f t="shared" si="17"/>
        <v>0.53006404481365366</v>
      </c>
      <c r="AK17" s="113">
        <f t="shared" si="17"/>
        <v>0.60444258772366743</v>
      </c>
      <c r="AL17" s="113">
        <f t="shared" si="17"/>
        <v>0.67886531479898093</v>
      </c>
      <c r="AM17" s="113">
        <f t="shared" si="17"/>
        <v>0.75333271733390272</v>
      </c>
      <c r="AN17" s="113">
        <f t="shared" si="17"/>
        <v>0.82784533610742828</v>
      </c>
      <c r="AO17" s="113">
        <f t="shared" si="17"/>
        <v>0.90240376409440937</v>
      </c>
      <c r="AP17" s="113">
        <f t="shared" si="17"/>
        <v>0.97700864951842159</v>
      </c>
      <c r="AQ17" s="113">
        <f t="shared" si="18"/>
        <v>1.051660699285577</v>
      </c>
      <c r="AR17" s="113">
        <f t="shared" si="18"/>
        <v>-0.21136800669994055</v>
      </c>
      <c r="AS17" s="113">
        <f t="shared" si="18"/>
        <v>-0.28528070692316271</v>
      </c>
      <c r="AT17" s="113">
        <f t="shared" si="18"/>
        <v>-0.35915189440892348</v>
      </c>
      <c r="AU17" s="113">
        <f t="shared" si="18"/>
        <v>-0.43298155307964331</v>
      </c>
      <c r="AV17" s="113">
        <f t="shared" si="18"/>
        <v>-0.50676963179355106</v>
      </c>
      <c r="AW17" s="113">
        <f t="shared" si="18"/>
        <v>-0.58051604412849123</v>
      </c>
      <c r="AX17" s="113">
        <f t="shared" si="18"/>
        <v>-0.6542206680152447</v>
      </c>
      <c r="AY17" s="113">
        <f t="shared" si="18"/>
        <v>-0.72788334521671727</v>
      </c>
      <c r="AZ17" s="113">
        <f t="shared" si="18"/>
        <v>-0.80150388064778044</v>
      </c>
      <c r="BA17" s="113">
        <f t="shared" si="18"/>
        <v>-0.87508204152888125</v>
      </c>
      <c r="BB17" s="113">
        <f t="shared" si="18"/>
        <v>-0.94861755636474498</v>
      </c>
      <c r="BC17" s="113">
        <f t="shared" si="18"/>
        <v>-1.0221101137375375</v>
      </c>
      <c r="BD17" s="113">
        <f t="shared" si="18"/>
        <v>-1.0955593609016978</v>
      </c>
      <c r="BE17" s="113">
        <f t="shared" si="18"/>
        <v>-1.1689649021652446</v>
      </c>
      <c r="BF17" s="113">
        <f t="shared" si="18"/>
        <v>-1.2423262970396456</v>
      </c>
      <c r="BG17" s="113">
        <f t="shared" si="19"/>
        <v>-1.3156430581372651</v>
      </c>
      <c r="BH17" s="113">
        <f t="shared" si="19"/>
        <v>-1.3889146487918809</v>
      </c>
      <c r="BI17" s="113">
        <f t="shared" si="19"/>
        <v>-1.462140480373699</v>
      </c>
    </row>
    <row r="18" spans="1:61">
      <c r="A18" s="113">
        <f>A17+$B$9</f>
        <v>1.4399999999999995</v>
      </c>
      <c r="B18" s="110">
        <f t="shared" si="4"/>
        <v>0.50544336722949634</v>
      </c>
      <c r="C18" s="159">
        <f t="shared" si="5"/>
        <v>0.83947782735824972</v>
      </c>
      <c r="D18" s="113">
        <f t="shared" si="5"/>
        <v>1.8799631742728737E-2</v>
      </c>
      <c r="E18" s="113">
        <f t="shared" si="5"/>
        <v>4.0148626389008273E-3</v>
      </c>
      <c r="F18" s="113">
        <f t="shared" si="5"/>
        <v>1.1626137595365781E-2</v>
      </c>
      <c r="G18" s="113">
        <f t="shared" si="5"/>
        <v>3.3930426813015648E-3</v>
      </c>
      <c r="H18" s="113">
        <f t="shared" si="5"/>
        <v>1.6396773554934413E-3</v>
      </c>
      <c r="I18" s="113"/>
      <c r="J18" s="113"/>
      <c r="K18" s="113">
        <f t="shared" si="6"/>
        <v>0.88963627342621798</v>
      </c>
      <c r="L18" s="107">
        <f t="shared" si="7"/>
        <v>0.87895117937204004</v>
      </c>
      <c r="M18" s="111">
        <f t="shared" si="8"/>
        <v>0.88188363556137039</v>
      </c>
      <c r="N18" s="113">
        <f t="shared" si="9"/>
        <v>1.068509405417789E-2</v>
      </c>
      <c r="O18" s="114">
        <f t="shared" si="10"/>
        <v>4.3633231299858251</v>
      </c>
      <c r="P18" s="111">
        <f t="shared" si="11"/>
        <v>3.0811382573263395</v>
      </c>
      <c r="Q18" s="111">
        <v>1.5383929295749659</v>
      </c>
      <c r="R18" s="107">
        <f t="shared" si="12"/>
        <v>1.5716237503095944</v>
      </c>
      <c r="S18" s="115">
        <v>0.90808636363636375</v>
      </c>
      <c r="T18" s="107">
        <f>T16</f>
        <v>5</v>
      </c>
      <c r="U18" s="111">
        <f t="shared" si="13"/>
        <v>3.247760245694626</v>
      </c>
      <c r="V18" s="111">
        <f t="shared" si="14"/>
        <v>3.1477602456946259</v>
      </c>
      <c r="W18" s="111">
        <f t="shared" si="15"/>
        <v>3.0811382573263395</v>
      </c>
      <c r="X18" s="111">
        <f t="shared" si="16"/>
        <v>5.8203312558251801</v>
      </c>
      <c r="Y18" s="115">
        <v>1.5960000000000001</v>
      </c>
      <c r="Z18" s="115">
        <v>0.72793880183187876</v>
      </c>
      <c r="AA18" s="113">
        <f t="shared" si="17"/>
        <v>9.7234758870401311E-3</v>
      </c>
      <c r="AB18" s="113">
        <f t="shared" si="17"/>
        <v>-6.4313370021094898E-2</v>
      </c>
      <c r="AC18" s="113">
        <f t="shared" si="17"/>
        <v>-0.13830810446963809</v>
      </c>
      <c r="AD18" s="113">
        <f t="shared" si="17"/>
        <v>8.380256031582238E-2</v>
      </c>
      <c r="AE18" s="113">
        <f t="shared" si="17"/>
        <v>0.1579240476932591</v>
      </c>
      <c r="AF18" s="113">
        <f t="shared" si="17"/>
        <v>0.23208814053652538</v>
      </c>
      <c r="AG18" s="113">
        <f t="shared" si="17"/>
        <v>0.30629508035002823</v>
      </c>
      <c r="AH18" s="113">
        <f t="shared" si="17"/>
        <v>0.38054514870873235</v>
      </c>
      <c r="AI18" s="113">
        <f t="shared" si="17"/>
        <v>0.45483866853828336</v>
      </c>
      <c r="AJ18" s="113">
        <f t="shared" si="17"/>
        <v>0.52917600560581257</v>
      </c>
      <c r="AK18" s="113">
        <f t="shared" si="17"/>
        <v>0.60355757023793077</v>
      </c>
      <c r="AL18" s="113">
        <f t="shared" si="17"/>
        <v>0.67798381928538376</v>
      </c>
      <c r="AM18" s="113">
        <f t="shared" si="17"/>
        <v>0.75245525835721039</v>
      </c>
      <c r="AN18" s="113">
        <f t="shared" si="17"/>
        <v>0.82697244435111472</v>
      </c>
      <c r="AO18" s="113">
        <f t="shared" si="17"/>
        <v>0.90153598831123261</v>
      </c>
      <c r="AP18" s="113">
        <f t="shared" si="17"/>
        <v>0.97614655864965783</v>
      </c>
      <c r="AQ18" s="113">
        <f t="shared" si="18"/>
        <v>1.0508048847741716</v>
      </c>
      <c r="AR18" s="113">
        <f t="shared" si="18"/>
        <v>-0.21226081770653127</v>
      </c>
      <c r="AS18" s="113">
        <f t="shared" si="18"/>
        <v>-0.2861715635577321</v>
      </c>
      <c r="AT18" s="113">
        <f t="shared" si="18"/>
        <v>-0.36004035965960524</v>
      </c>
      <c r="AU18" s="113">
        <f t="shared" si="18"/>
        <v>-0.43386718753492221</v>
      </c>
      <c r="AV18" s="113">
        <f t="shared" si="18"/>
        <v>-0.50765199251323667</v>
      </c>
      <c r="AW18" s="113">
        <f t="shared" si="18"/>
        <v>-0.58139468349483037</v>
      </c>
      <c r="AX18" s="113">
        <f t="shared" si="18"/>
        <v>-0.65509513255584928</v>
      </c>
      <c r="AY18" s="113">
        <f t="shared" si="18"/>
        <v>-0.72875317439061671</v>
      </c>
      <c r="AZ18" s="113">
        <f t="shared" si="18"/>
        <v>-0.80236860558541678</v>
      </c>
      <c r="BA18" s="113">
        <f t="shared" si="18"/>
        <v>-0.87594118371623275</v>
      </c>
      <c r="BB18" s="113">
        <f t="shared" si="18"/>
        <v>-0.94947062626098122</v>
      </c>
      <c r="BC18" s="113">
        <f t="shared" si="18"/>
        <v>-1.0229566093146523</v>
      </c>
      <c r="BD18" s="113">
        <f t="shared" si="18"/>
        <v>-1.0963987660934145</v>
      </c>
      <c r="BE18" s="113">
        <f t="shared" si="18"/>
        <v>-1.1697966852111146</v>
      </c>
      <c r="BF18" s="113">
        <f t="shared" si="18"/>
        <v>-1.243149908708622</v>
      </c>
      <c r="BG18" s="113">
        <f t="shared" si="19"/>
        <v>-1.3164579298130963</v>
      </c>
      <c r="BH18" s="113">
        <f t="shared" si="19"/>
        <v>-1.389720190400368</v>
      </c>
      <c r="BI18" s="113">
        <f t="shared" si="19"/>
        <v>-1.4629360781291401</v>
      </c>
    </row>
    <row r="19" spans="1:61">
      <c r="A19" s="113">
        <f t="shared" si="20"/>
        <v>1.4549999999999994</v>
      </c>
      <c r="B19" s="110">
        <f t="shared" si="4"/>
        <v>0.51070840230480352</v>
      </c>
      <c r="C19" s="159">
        <f t="shared" si="5"/>
        <v>0.84783635519725098</v>
      </c>
      <c r="D19" s="113">
        <f t="shared" si="5"/>
        <v>1.5263201165566334E-2</v>
      </c>
      <c r="E19" s="113">
        <f t="shared" si="5"/>
        <v>3.3032718088631041E-3</v>
      </c>
      <c r="F19" s="113">
        <f t="shared" si="5"/>
        <v>9.9562503661571114E-3</v>
      </c>
      <c r="G19" s="113">
        <f t="shared" si="5"/>
        <v>2.8883707127806504E-3</v>
      </c>
      <c r="H19" s="113">
        <f t="shared" si="5"/>
        <v>1.3973673206487773E-3</v>
      </c>
      <c r="I19" s="113"/>
      <c r="J19" s="113"/>
      <c r="K19" s="113">
        <f t="shared" si="6"/>
        <v>0.89198100668497382</v>
      </c>
      <c r="L19" s="107">
        <f t="shared" si="7"/>
        <v>0.88064481657126703</v>
      </c>
      <c r="M19" s="111">
        <f t="shared" si="8"/>
        <v>0.88189954577128638</v>
      </c>
      <c r="N19" s="113">
        <f t="shared" si="9"/>
        <v>1.1336190113706781E-2</v>
      </c>
      <c r="O19" s="114">
        <f t="shared" si="10"/>
        <v>4.3183404173055591</v>
      </c>
      <c r="P19" s="111">
        <f t="shared" si="11"/>
        <v>3.0814539374653465</v>
      </c>
      <c r="Q19" s="111">
        <v>1.5363</v>
      </c>
      <c r="R19" s="107">
        <f t="shared" si="12"/>
        <v>1.5715309626336798</v>
      </c>
      <c r="S19" s="115">
        <v>0.90808636363636375</v>
      </c>
      <c r="T19" s="107">
        <f t="shared" si="21"/>
        <v>5</v>
      </c>
      <c r="U19" s="111">
        <f t="shared" si="13"/>
        <v>3.2521894834185314</v>
      </c>
      <c r="V19" s="111">
        <f t="shared" si="14"/>
        <v>3.1521894834185313</v>
      </c>
      <c r="W19" s="111">
        <f t="shared" si="15"/>
        <v>3.0814539374653465</v>
      </c>
      <c r="X19" s="111">
        <f t="shared" si="16"/>
        <v>5.8307014169499922</v>
      </c>
      <c r="Y19" s="115">
        <v>1.5925</v>
      </c>
      <c r="Z19" s="115">
        <v>0.79807673372452415</v>
      </c>
      <c r="AA19" s="113">
        <f t="shared" si="17"/>
        <v>8.8463077734197981E-3</v>
      </c>
      <c r="AB19" s="113">
        <f t="shared" si="17"/>
        <v>-6.5189888483091096E-2</v>
      </c>
      <c r="AC19" s="113">
        <f t="shared" si="17"/>
        <v>-0.13918353680806056</v>
      </c>
      <c r="AD19" s="113">
        <f t="shared" si="17"/>
        <v>8.2925181101904791E-2</v>
      </c>
      <c r="AE19" s="113">
        <f t="shared" si="17"/>
        <v>0.15704689918358372</v>
      </c>
      <c r="AF19" s="113">
        <f t="shared" si="17"/>
        <v>0.23121166899238538</v>
      </c>
      <c r="AG19" s="113">
        <f t="shared" si="17"/>
        <v>0.30541973773208159</v>
      </c>
      <c r="AH19" s="113">
        <f t="shared" si="17"/>
        <v>0.37967139396866356</v>
      </c>
      <c r="AI19" s="113">
        <f t="shared" si="17"/>
        <v>0.45396696897027633</v>
      </c>
      <c r="AJ19" s="113">
        <f t="shared" si="17"/>
        <v>0.52830683826955582</v>
      </c>
      <c r="AK19" s="113">
        <f t="shared" si="17"/>
        <v>0.6026914234660472</v>
      </c>
      <c r="AL19" s="113">
        <f t="shared" si="17"/>
        <v>0.67712119428958706</v>
      </c>
      <c r="AM19" s="113">
        <f t="shared" si="17"/>
        <v>0.75159667094917915</v>
      </c>
      <c r="AN19" s="113">
        <f t="shared" si="17"/>
        <v>0.82611842679609782</v>
      </c>
      <c r="AO19" s="113">
        <f t="shared" si="17"/>
        <v>0.90068709133480152</v>
      </c>
      <c r="AP19" s="113">
        <f t="shared" si="17"/>
        <v>0.97530335362089926</v>
      </c>
      <c r="AQ19" s="113">
        <f t="shared" si="18"/>
        <v>1.0499679660920371</v>
      </c>
      <c r="AR19" s="113">
        <f t="shared" si="18"/>
        <v>-0.21313472837578429</v>
      </c>
      <c r="AS19" s="113">
        <f t="shared" si="18"/>
        <v>-0.28704351679780404</v>
      </c>
      <c r="AT19" s="113">
        <f t="shared" si="18"/>
        <v>-0.36090991835920383</v>
      </c>
      <c r="AU19" s="113">
        <f t="shared" si="18"/>
        <v>-0.43473391209025602</v>
      </c>
      <c r="AV19" s="113">
        <f t="shared" si="18"/>
        <v>-0.50851543967415402</v>
      </c>
      <c r="AW19" s="113">
        <f t="shared" si="18"/>
        <v>-0.58225440518988225</v>
      </c>
      <c r="AX19" s="113">
        <f t="shared" si="18"/>
        <v>-0.65595067468757073</v>
      </c>
      <c r="AY19" s="113">
        <f t="shared" si="18"/>
        <v>-0.72960407559193163</v>
      </c>
      <c r="AZ19" s="113">
        <f t="shared" si="18"/>
        <v>-0.8032143959275323</v>
      </c>
      <c r="BA19" s="113">
        <f t="shared" si="18"/>
        <v>-0.87678138335771627</v>
      </c>
      <c r="BB19" s="113">
        <f t="shared" si="18"/>
        <v>-0.95030474402686305</v>
      </c>
      <c r="BC19" s="113">
        <f t="shared" si="18"/>
        <v>-1.0237841411933684</v>
      </c>
      <c r="BD19" s="113">
        <f t="shared" si="18"/>
        <v>-1.0972191936381621</v>
      </c>
      <c r="BE19" s="113">
        <f t="shared" si="18"/>
        <v>-1.1706094738307047</v>
      </c>
      <c r="BF19" s="113">
        <f t="shared" si="18"/>
        <v>-1.2439545058311472</v>
      </c>
      <c r="BG19" s="113">
        <f t="shared" si="19"/>
        <v>-1.3172537629036285</v>
      </c>
      <c r="BH19" s="113">
        <f t="shared" si="19"/>
        <v>-1.3905066648114071</v>
      </c>
      <c r="BI19" s="113">
        <f t="shared" si="19"/>
        <v>-1.4637125747595761</v>
      </c>
    </row>
    <row r="20" spans="1:61">
      <c r="A20" s="113">
        <f t="shared" si="20"/>
        <v>1.4699999999999993</v>
      </c>
      <c r="B20" s="110">
        <f t="shared" si="4"/>
        <v>0.51597343738011081</v>
      </c>
      <c r="C20" s="159">
        <f t="shared" si="5"/>
        <v>0.85496843397343325</v>
      </c>
      <c r="D20" s="113">
        <f t="shared" si="5"/>
        <v>1.2193230267950189E-2</v>
      </c>
      <c r="E20" s="113">
        <f t="shared" si="5"/>
        <v>2.6721355846317345E-3</v>
      </c>
      <c r="F20" s="113">
        <f t="shared" si="5"/>
        <v>8.3876933591060816E-3</v>
      </c>
      <c r="G20" s="113">
        <f t="shared" si="5"/>
        <v>2.4206029777621633E-3</v>
      </c>
      <c r="H20" s="113">
        <f t="shared" si="5"/>
        <v>1.1733722839037141E-3</v>
      </c>
      <c r="I20" s="113"/>
      <c r="J20" s="113"/>
      <c r="K20" s="113">
        <f t="shared" si="6"/>
        <v>0.89374168090660322</v>
      </c>
      <c r="L20" s="107">
        <f t="shared" si="7"/>
        <v>0.88181546844678704</v>
      </c>
      <c r="M20" s="111">
        <f t="shared" si="8"/>
        <v>0.88191498634424936</v>
      </c>
      <c r="N20" s="113">
        <f t="shared" si="9"/>
        <v>1.1926212459816173E-2</v>
      </c>
      <c r="O20" s="114">
        <f t="shared" si="10"/>
        <v>4.2742757191697889</v>
      </c>
      <c r="P20" s="111">
        <f t="shared" si="11"/>
        <v>3.0817519547624688</v>
      </c>
      <c r="Q20" s="111">
        <v>1.5344</v>
      </c>
      <c r="R20" s="107">
        <f t="shared" si="12"/>
        <v>1.5714409186623579</v>
      </c>
      <c r="S20" s="115">
        <v>0.90772272727272718</v>
      </c>
      <c r="T20" s="107">
        <f t="shared" si="21"/>
        <v>5</v>
      </c>
      <c r="U20" s="111">
        <f t="shared" si="13"/>
        <v>3.2562209074791171</v>
      </c>
      <c r="V20" s="111">
        <f t="shared" si="14"/>
        <v>3.156220907479117</v>
      </c>
      <c r="W20" s="111">
        <f t="shared" si="15"/>
        <v>3.0817519547624688</v>
      </c>
      <c r="X20" s="111">
        <f t="shared" si="16"/>
        <v>5.8410523456688068</v>
      </c>
      <c r="Y20" s="115">
        <v>1.589</v>
      </c>
      <c r="Z20" s="115">
        <v>0.82972924356396049</v>
      </c>
      <c r="AA20" s="113">
        <f t="shared" si="17"/>
        <v>7.9874383989127634E-3</v>
      </c>
      <c r="AB20" s="113">
        <f t="shared" si="17"/>
        <v>-6.6048107396409816E-2</v>
      </c>
      <c r="AC20" s="113">
        <f t="shared" si="17"/>
        <v>-0.1400406688189445</v>
      </c>
      <c r="AD20" s="113">
        <f t="shared" si="17"/>
        <v>8.2066099789672733E-2</v>
      </c>
      <c r="AE20" s="113">
        <f t="shared" si="17"/>
        <v>0.15618804773735367</v>
      </c>
      <c r="AF20" s="113">
        <f t="shared" si="17"/>
        <v>0.23035349372478545</v>
      </c>
      <c r="AG20" s="113">
        <f t="shared" si="17"/>
        <v>0.30456269073362835</v>
      </c>
      <c r="AH20" s="113">
        <f t="shared" si="17"/>
        <v>0.37881593442750838</v>
      </c>
      <c r="AI20" s="113">
        <f t="shared" si="17"/>
        <v>0.45311356455394325</v>
      </c>
      <c r="AJ20" s="113">
        <f t="shared" si="17"/>
        <v>0.52745596658092231</v>
      </c>
      <c r="AK20" s="113">
        <f t="shared" si="17"/>
        <v>0.60184357358705853</v>
      </c>
      <c r="AL20" s="113">
        <f t="shared" si="17"/>
        <v>0.67627686842769397</v>
      </c>
      <c r="AM20" s="113">
        <f t="shared" si="17"/>
        <v>0.750756386203286</v>
      </c>
      <c r="AN20" s="113">
        <f t="shared" si="17"/>
        <v>0.82528271706095968</v>
      </c>
      <c r="AO20" s="113">
        <f t="shared" si="17"/>
        <v>0.89985650936538009</v>
      </c>
      <c r="AP20" s="113">
        <f t="shared" si="17"/>
        <v>0.97447847328125825</v>
      </c>
      <c r="AQ20" s="113">
        <f t="shared" si="18"/>
        <v>1.0491493848170319</v>
      </c>
      <c r="AR20" s="113">
        <f t="shared" si="18"/>
        <v>-0.21399033794848288</v>
      </c>
      <c r="AS20" s="113">
        <f t="shared" si="18"/>
        <v>-0.28789716813775418</v>
      </c>
      <c r="AT20" s="113">
        <f t="shared" si="18"/>
        <v>-0.36176117425243842</v>
      </c>
      <c r="AU20" s="113">
        <f t="shared" si="18"/>
        <v>-0.43558233273792285</v>
      </c>
      <c r="AV20" s="113">
        <f t="shared" si="18"/>
        <v>-0.50936058151350305</v>
      </c>
      <c r="AW20" s="113">
        <f t="shared" si="18"/>
        <v>-0.58309581969291602</v>
      </c>
      <c r="AX20" s="113">
        <f t="shared" si="18"/>
        <v>-0.65678790712826396</v>
      </c>
      <c r="AY20" s="113">
        <f t="shared" si="18"/>
        <v>-0.73043666377249539</v>
      </c>
      <c r="AZ20" s="113">
        <f t="shared" si="18"/>
        <v>-0.80404186885362927</v>
      </c>
      <c r="BA20" s="113">
        <f t="shared" si="18"/>
        <v>-0.87760325985179766</v>
      </c>
      <c r="BB20" s="113">
        <f t="shared" si="18"/>
        <v>-0.9511205312678892</v>
      </c>
      <c r="BC20" s="113">
        <f t="shared" si="18"/>
        <v>-1.0245933331700652</v>
      </c>
      <c r="BD20" s="113">
        <f t="shared" si="18"/>
        <v>-1.0980212695016249</v>
      </c>
      <c r="BE20" s="113">
        <f t="shared" si="18"/>
        <v>-1.1714038961305591</v>
      </c>
      <c r="BF20" s="113">
        <f t="shared" si="18"/>
        <v>-1.2447407186175616</v>
      </c>
      <c r="BG20" s="113">
        <f t="shared" si="19"/>
        <v>-1.3180311896751997</v>
      </c>
      <c r="BH20" s="113">
        <f t="shared" si="19"/>
        <v>-1.3912747062862385</v>
      </c>
      <c r="BI20" s="113">
        <f t="shared" si="19"/>
        <v>-1.4644706064436472</v>
      </c>
    </row>
    <row r="21" spans="1:61">
      <c r="A21" s="113">
        <f t="shared" si="20"/>
        <v>1.4849999999999992</v>
      </c>
      <c r="B21" s="110">
        <f t="shared" si="4"/>
        <v>0.52123847245541799</v>
      </c>
      <c r="C21" s="159">
        <f t="shared" si="5"/>
        <v>0.86056345715021854</v>
      </c>
      <c r="D21" s="113">
        <f t="shared" si="5"/>
        <v>9.5499238104317877E-3</v>
      </c>
      <c r="E21" s="113">
        <f t="shared" si="5"/>
        <v>2.11753480762577E-3</v>
      </c>
      <c r="F21" s="113">
        <f t="shared" si="5"/>
        <v>6.928814742024181E-3</v>
      </c>
      <c r="G21" s="113">
        <f t="shared" si="5"/>
        <v>1.9910250596336318E-3</v>
      </c>
      <c r="H21" s="113">
        <f t="shared" si="5"/>
        <v>9.6808512323999106E-4</v>
      </c>
      <c r="I21" s="113"/>
      <c r="J21" s="113"/>
      <c r="K21" s="113">
        <f t="shared" si="6"/>
        <v>0.8944801130949056</v>
      </c>
      <c r="L21" s="107">
        <f t="shared" si="7"/>
        <v>0.88211884069317392</v>
      </c>
      <c r="M21" s="111">
        <f t="shared" si="8"/>
        <v>0.88192997542301654</v>
      </c>
      <c r="N21" s="113">
        <f t="shared" si="9"/>
        <v>1.2361272401731696E-2</v>
      </c>
      <c r="O21" s="114">
        <f t="shared" si="10"/>
        <v>4.2311012169559525</v>
      </c>
      <c r="P21" s="111">
        <f t="shared" si="11"/>
        <v>3.0820141879204463</v>
      </c>
      <c r="Q21" s="111">
        <v>1.53298</v>
      </c>
      <c r="R21" s="107">
        <f t="shared" si="12"/>
        <v>1.5713535121697548</v>
      </c>
      <c r="S21" s="115">
        <v>0.906640909090909</v>
      </c>
      <c r="T21" s="107">
        <f t="shared" si="21"/>
        <v>5</v>
      </c>
      <c r="U21" s="111">
        <f t="shared" si="13"/>
        <v>3.2592404022979751</v>
      </c>
      <c r="V21" s="111">
        <f t="shared" si="14"/>
        <v>3.159240402297975</v>
      </c>
      <c r="W21" s="111">
        <f t="shared" si="15"/>
        <v>3.0820141879204463</v>
      </c>
      <c r="X21" s="111">
        <f t="shared" si="16"/>
        <v>5.8513551368796133</v>
      </c>
      <c r="Y21" s="115">
        <v>1.5865</v>
      </c>
      <c r="Z21" s="115">
        <v>0.83332339713298342</v>
      </c>
      <c r="AA21" s="113">
        <f t="shared" si="17"/>
        <v>7.1462972446912076E-3</v>
      </c>
      <c r="AB21" s="113">
        <f t="shared" si="17"/>
        <v>-6.6888596030346775E-2</v>
      </c>
      <c r="AC21" s="113">
        <f t="shared" si="17"/>
        <v>-0.14088006852481794</v>
      </c>
      <c r="AD21" s="113">
        <f t="shared" si="17"/>
        <v>8.1224744606424495E-2</v>
      </c>
      <c r="AE21" s="113">
        <f t="shared" si="17"/>
        <v>0.15534692032229636</v>
      </c>
      <c r="AF21" s="113">
        <f t="shared" si="17"/>
        <v>0.22951304043506307</v>
      </c>
      <c r="AG21" s="113">
        <f t="shared" si="17"/>
        <v>0.30372336378192955</v>
      </c>
      <c r="AH21" s="113">
        <f t="shared" si="17"/>
        <v>0.37797819323018828</v>
      </c>
      <c r="AI21" s="113">
        <f t="shared" si="17"/>
        <v>0.45227787714336948</v>
      </c>
      <c r="AJ21" s="113">
        <f t="shared" si="17"/>
        <v>0.52662281109484244</v>
      </c>
      <c r="AK21" s="113">
        <f t="shared" si="17"/>
        <v>0.60101343984910205</v>
      </c>
      <c r="AL21" s="113">
        <f t="shared" si="17"/>
        <v>0.67545025963471106</v>
      </c>
      <c r="AM21" s="113">
        <f t="shared" si="17"/>
        <v>0.74993382073713721</v>
      </c>
      <c r="AN21" s="113">
        <f t="shared" si="17"/>
        <v>0.82446473044466173</v>
      </c>
      <c r="AO21" s="113">
        <f t="shared" si="17"/>
        <v>0.89904365638625694</v>
      </c>
      <c r="AP21" s="113">
        <f t="shared" si="17"/>
        <v>0.97367133030702802</v>
      </c>
      <c r="AQ21" s="113">
        <f t="shared" si="18"/>
        <v>1.0483485523346978</v>
      </c>
      <c r="AR21" s="113">
        <f t="shared" si="18"/>
        <v>-0.2148282132013514</v>
      </c>
      <c r="AS21" s="113">
        <f t="shared" si="18"/>
        <v>-0.28873308310743251</v>
      </c>
      <c r="AT21" s="113">
        <f t="shared" si="18"/>
        <v>-0.36259469161892216</v>
      </c>
      <c r="AU21" s="113">
        <f t="shared" si="18"/>
        <v>-0.43641301250135522</v>
      </c>
      <c r="AV21" s="113">
        <f t="shared" si="18"/>
        <v>-0.51018797978967489</v>
      </c>
      <c r="AW21" s="113">
        <f t="shared" si="18"/>
        <v>-0.58391948748511258</v>
      </c>
      <c r="AX21" s="113">
        <f t="shared" si="18"/>
        <v>-0.65760738906595562</v>
      </c>
      <c r="AY21" s="113">
        <f t="shared" si="18"/>
        <v>-0.73125149680690982</v>
      </c>
      <c r="AZ21" s="113">
        <f t="shared" si="18"/>
        <v>-0.80485158089962405</v>
      </c>
      <c r="BA21" s="113">
        <f t="shared" si="18"/>
        <v>-0.8784073683646636</v>
      </c>
      <c r="BB21" s="113">
        <f t="shared" si="18"/>
        <v>-0.95191854174273838</v>
      </c>
      <c r="BC21" s="113">
        <f t="shared" si="18"/>
        <v>-1.0253847375502581</v>
      </c>
      <c r="BD21" s="113">
        <f t="shared" si="18"/>
        <v>-1.0988055444812503</v>
      </c>
      <c r="BE21" s="113">
        <f t="shared" si="18"/>
        <v>-1.1721805013342508</v>
      </c>
      <c r="BF21" s="113">
        <f t="shared" si="18"/>
        <v>-1.2455090946388674</v>
      </c>
      <c r="BG21" s="113">
        <f t="shared" si="19"/>
        <v>-1.3187907559522618</v>
      </c>
      <c r="BH21" s="113">
        <f t="shared" si="19"/>
        <v>-1.3920248587906068</v>
      </c>
      <c r="BI21" s="113">
        <f t="shared" si="19"/>
        <v>-1.4652107151545632</v>
      </c>
    </row>
    <row r="22" spans="1:61">
      <c r="A22" s="113">
        <f t="shared" si="20"/>
        <v>1.4999999999999991</v>
      </c>
      <c r="B22" s="110">
        <f t="shared" si="4"/>
        <v>0.52650350753072528</v>
      </c>
      <c r="C22" s="159">
        <f t="shared" si="5"/>
        <v>0.86213223272439343</v>
      </c>
      <c r="D22" s="113">
        <f t="shared" si="5"/>
        <v>7.2802027880374412E-3</v>
      </c>
      <c r="E22" s="113">
        <f t="shared" si="5"/>
        <v>1.6318726536875077E-3</v>
      </c>
      <c r="F22" s="113">
        <f t="shared" si="5"/>
        <v>5.5745661778554704E-3</v>
      </c>
      <c r="G22" s="113">
        <f t="shared" si="5"/>
        <v>1.5970288977968595E-3</v>
      </c>
      <c r="H22" s="113">
        <f t="shared" si="5"/>
        <v>7.7999855942240744E-4</v>
      </c>
      <c r="I22" s="113"/>
      <c r="J22" s="113"/>
      <c r="K22" s="113">
        <f t="shared" si="6"/>
        <v>0.89151178416101728</v>
      </c>
      <c r="L22" s="107">
        <f t="shared" si="7"/>
        <v>0.87899590180119314</v>
      </c>
      <c r="M22" s="111">
        <f t="shared" si="8"/>
        <v>0.88194453029092257</v>
      </c>
      <c r="N22" s="113">
        <f t="shared" si="9"/>
        <v>1.2515882359824126E-2</v>
      </c>
      <c r="O22" s="114">
        <f t="shared" si="10"/>
        <v>4.1887902047863932</v>
      </c>
      <c r="P22" s="111">
        <f t="shared" si="11"/>
        <v>3.0822163651536716</v>
      </c>
      <c r="Q22" s="111">
        <v>1.5324232</v>
      </c>
      <c r="R22" s="107">
        <f t="shared" si="12"/>
        <v>1.5712686419753088</v>
      </c>
      <c r="S22" s="115">
        <v>0.90221363636363638</v>
      </c>
      <c r="T22" s="107">
        <f t="shared" si="21"/>
        <v>5</v>
      </c>
      <c r="U22" s="111">
        <f t="shared" si="13"/>
        <v>3.2604259142855878</v>
      </c>
      <c r="V22" s="111">
        <f t="shared" si="14"/>
        <v>3.1604259142855877</v>
      </c>
      <c r="W22" s="111">
        <f t="shared" si="15"/>
        <v>3.0822163651536716</v>
      </c>
      <c r="X22" s="111">
        <f t="shared" si="16"/>
        <v>5.8615712039636989</v>
      </c>
      <c r="Y22" s="115">
        <v>1.5840000000000001</v>
      </c>
      <c r="Z22" s="115">
        <v>0.81488640913970567</v>
      </c>
      <c r="AA22" s="113">
        <f t="shared" si="17"/>
        <v>6.322337062545938E-3</v>
      </c>
      <c r="AB22" s="113">
        <f t="shared" si="17"/>
        <v>-6.7711899965404221E-2</v>
      </c>
      <c r="AC22" s="113">
        <f t="shared" si="17"/>
        <v>-0.14170227984236722</v>
      </c>
      <c r="AD22" s="113">
        <f t="shared" si="17"/>
        <v>8.040056663028243E-2</v>
      </c>
      <c r="AE22" s="113">
        <f t="shared" si="17"/>
        <v>0.15452296633504642</v>
      </c>
      <c r="AF22" s="113">
        <f t="shared" si="17"/>
        <v>0.22868975682890799</v>
      </c>
      <c r="AG22" s="113">
        <f t="shared" si="17"/>
        <v>0.30290120288087558</v>
      </c>
      <c r="AH22" s="113">
        <f t="shared" si="17"/>
        <v>0.37715761466681574</v>
      </c>
      <c r="AI22" s="113">
        <f t="shared" si="17"/>
        <v>0.45145934930210863</v>
      </c>
      <c r="AJ22" s="113">
        <f t="shared" si="17"/>
        <v>0.52580681263511697</v>
      </c>
      <c r="AK22" s="113">
        <f t="shared" si="17"/>
        <v>0.60020046132309679</v>
      </c>
      <c r="AL22" s="113">
        <f t="shared" si="17"/>
        <v>0.67464080521620484</v>
      </c>
      <c r="AM22" s="113">
        <f t="shared" si="17"/>
        <v>0.74912841007987463</v>
      </c>
      <c r="AN22" s="113">
        <f t="shared" si="17"/>
        <v>0.8236639006911759</v>
      </c>
      <c r="AO22" s="113">
        <f t="shared" si="17"/>
        <v>0.89824796435097976</v>
      </c>
      <c r="AP22" s="113">
        <f t="shared" si="17"/>
        <v>0.97288135486103355</v>
      </c>
      <c r="AQ22" s="113">
        <f t="shared" si="18"/>
        <v>1.0475648970236346</v>
      </c>
      <c r="AR22" s="113">
        <f t="shared" si="18"/>
        <v>-0.21564889638886414</v>
      </c>
      <c r="AS22" s="113">
        <f t="shared" si="18"/>
        <v>-0.28955180229818661</v>
      </c>
      <c r="AT22" s="113">
        <f t="shared" si="18"/>
        <v>-0.36341100938318643</v>
      </c>
      <c r="AU22" s="113">
        <f t="shared" si="18"/>
        <v>-0.43722648863151042</v>
      </c>
      <c r="AV22" s="113">
        <f t="shared" si="18"/>
        <v>-0.51099817006988468</v>
      </c>
      <c r="AW22" s="113">
        <f t="shared" si="18"/>
        <v>-0.58472594243596188</v>
      </c>
      <c r="AX22" s="113">
        <f t="shared" si="18"/>
        <v>-0.65840965265413287</v>
      </c>
      <c r="AY22" s="113">
        <f t="shared" si="18"/>
        <v>-0.7320491051095106</v>
      </c>
      <c r="AZ22" s="113">
        <f t="shared" si="18"/>
        <v>-0.80564406071199057</v>
      </c>
      <c r="BA22" s="113">
        <f t="shared" si="18"/>
        <v>-0.87919423573982836</v>
      </c>
      <c r="BB22" s="113">
        <f t="shared" si="18"/>
        <v>-0.95269930044948192</v>
      </c>
      <c r="BC22" s="113">
        <f t="shared" si="18"/>
        <v>-1.0261588774355102</v>
      </c>
      <c r="BD22" s="113">
        <f t="shared" si="18"/>
        <v>-1.0995725397210072</v>
      </c>
      <c r="BE22" s="113">
        <f t="shared" si="18"/>
        <v>-1.1729398085553124</v>
      </c>
      <c r="BF22" s="113">
        <f t="shared" si="18"/>
        <v>-1.2462601508914755</v>
      </c>
      <c r="BG22" s="113">
        <f t="shared" si="19"/>
        <v>-1.3195329765110508</v>
      </c>
      <c r="BH22" s="113">
        <f t="shared" si="19"/>
        <v>-1.392757634758109</v>
      </c>
      <c r="BI22" s="113">
        <f t="shared" si="19"/>
        <v>-1.4659334108377169</v>
      </c>
    </row>
    <row r="23" spans="1:61">
      <c r="A23" s="113">
        <f t="shared" si="20"/>
        <v>1.514999999999999</v>
      </c>
      <c r="B23" s="110">
        <f t="shared" si="4"/>
        <v>0.53176854260603246</v>
      </c>
      <c r="C23" s="159">
        <f t="shared" si="5"/>
        <v>0.86556263741846284</v>
      </c>
      <c r="D23" s="113">
        <f t="shared" si="5"/>
        <v>5.4061216375819246E-3</v>
      </c>
      <c r="E23" s="113">
        <f t="shared" si="5"/>
        <v>1.223792966259858E-3</v>
      </c>
      <c r="F23" s="113">
        <f t="shared" si="5"/>
        <v>4.3747084281003925E-3</v>
      </c>
      <c r="G23" s="113">
        <f t="shared" si="5"/>
        <v>1.2516595773771524E-3</v>
      </c>
      <c r="H23" s="113">
        <f t="shared" si="5"/>
        <v>6.1525581477331803E-4</v>
      </c>
      <c r="I23" s="113"/>
      <c r="J23" s="113"/>
      <c r="K23" s="113">
        <f t="shared" si="6"/>
        <v>0.89112065114313677</v>
      </c>
      <c r="L23" s="107">
        <f t="shared" si="7"/>
        <v>0.87843417584255545</v>
      </c>
      <c r="M23" s="111">
        <f t="shared" si="8"/>
        <v>0.88195866741975881</v>
      </c>
      <c r="N23" s="113">
        <f t="shared" si="9"/>
        <v>1.2686475300581271E-2</v>
      </c>
      <c r="O23" s="114">
        <f t="shared" si="10"/>
        <v>4.1473170344419739</v>
      </c>
      <c r="P23" s="111">
        <f t="shared" si="11"/>
        <v>3.0824167352843439</v>
      </c>
      <c r="Q23" s="111">
        <v>1.53182</v>
      </c>
      <c r="R23" s="107">
        <f t="shared" si="12"/>
        <v>1.5711862116617976</v>
      </c>
      <c r="S23" s="115">
        <v>0.90058636363636357</v>
      </c>
      <c r="T23" s="107">
        <f t="shared" si="21"/>
        <v>5</v>
      </c>
      <c r="U23" s="111">
        <f t="shared" si="13"/>
        <v>3.2617111930818257</v>
      </c>
      <c r="V23" s="111">
        <f t="shared" si="14"/>
        <v>3.1617111930818256</v>
      </c>
      <c r="W23" s="111">
        <f t="shared" si="15"/>
        <v>3.0824167352843439</v>
      </c>
      <c r="X23" s="111">
        <f t="shared" si="16"/>
        <v>5.871792130161988</v>
      </c>
      <c r="Y23" s="115">
        <v>1.5820000000000001</v>
      </c>
      <c r="Z23" s="115">
        <v>0.78673693059022887</v>
      </c>
      <c r="AA23" s="113">
        <f t="shared" si="17"/>
        <v>5.5150370826166084E-3</v>
      </c>
      <c r="AB23" s="113">
        <f t="shared" si="17"/>
        <v>-6.8518543930501399E-2</v>
      </c>
      <c r="AC23" s="113">
        <f t="shared" si="17"/>
        <v>-0.14250783144879231</v>
      </c>
      <c r="AD23" s="113">
        <f t="shared" si="17"/>
        <v>7.9593049064492938E-2</v>
      </c>
      <c r="AE23" s="113">
        <f t="shared" si="17"/>
        <v>0.15371567296958183</v>
      </c>
      <c r="AF23" s="113">
        <f t="shared" si="17"/>
        <v>0.22788313411257316</v>
      </c>
      <c r="AG23" s="113">
        <f t="shared" si="17"/>
        <v>0.30209570327484586</v>
      </c>
      <c r="AH23" s="113">
        <f t="shared" si="17"/>
        <v>0.37635369805050983</v>
      </c>
      <c r="AI23" s="113">
        <f t="shared" si="17"/>
        <v>0.45065748444792897</v>
      </c>
      <c r="AJ23" s="113">
        <f t="shared" si="17"/>
        <v>0.52500747876600806</v>
      </c>
      <c r="AK23" s="113">
        <f t="shared" si="17"/>
        <v>0.59940414976834444</v>
      </c>
      <c r="AL23" s="113">
        <f t="shared" si="17"/>
        <v>0.67384802118268872</v>
      </c>
      <c r="AM23" s="113">
        <f t="shared" si="17"/>
        <v>0.74833967455814432</v>
      </c>
      <c r="AN23" s="113">
        <f t="shared" si="17"/>
        <v>0.82287975251831502</v>
      </c>
      <c r="AO23" s="113">
        <f t="shared" si="17"/>
        <v>0.89746896245534147</v>
      </c>
      <c r="AP23" s="113">
        <f t="shared" si="17"/>
        <v>0.97210808071767563</v>
      </c>
      <c r="AQ23" s="113">
        <f t="shared" si="18"/>
        <v>1.0467979573537924</v>
      </c>
      <c r="AR23" s="113">
        <f t="shared" si="18"/>
        <v>-0.21645292012870798</v>
      </c>
      <c r="AS23" s="113">
        <f t="shared" si="18"/>
        <v>-0.29035386226310544</v>
      </c>
      <c r="AT23" s="113">
        <f t="shared" si="18"/>
        <v>-0.36421066803106911</v>
      </c>
      <c r="AU23" s="113">
        <f t="shared" si="18"/>
        <v>-0.4380233055464634</v>
      </c>
      <c r="AV23" s="113">
        <f t="shared" si="18"/>
        <v>-0.51179170070575808</v>
      </c>
      <c r="AW23" s="113">
        <f t="shared" si="18"/>
        <v>-0.58551573683342495</v>
      </c>
      <c r="AX23" s="113">
        <f t="shared" si="18"/>
        <v>-0.65919525412093793</v>
      </c>
      <c r="AY23" s="113">
        <f t="shared" si="18"/>
        <v>-0.73283004885304914</v>
      </c>
      <c r="AZ23" s="113">
        <f t="shared" si="18"/>
        <v>-0.80641987241253144</v>
      </c>
      <c r="BA23" s="113">
        <f t="shared" si="18"/>
        <v>-0.87996443005191438</v>
      </c>
      <c r="BB23" s="113">
        <f t="shared" si="18"/>
        <v>-0.95346337941783466</v>
      </c>
      <c r="BC23" s="113">
        <f t="shared" si="18"/>
        <v>-1.0269163288104035</v>
      </c>
      <c r="BD23" s="113">
        <f t="shared" si="18"/>
        <v>-1.1003228351564023</v>
      </c>
      <c r="BE23" s="113">
        <f t="shared" si="18"/>
        <v>-1.1736824016710341</v>
      </c>
      <c r="BF23" s="113">
        <f t="shared" si="18"/>
        <v>-1.2469944751783071</v>
      </c>
      <c r="BG23" s="113">
        <f t="shared" si="19"/>
        <v>-1.3202584430547406</v>
      </c>
      <c r="BH23" s="113">
        <f t="shared" si="19"/>
        <v>-1.3934736297548547</v>
      </c>
      <c r="BI23" s="113">
        <f t="shared" si="19"/>
        <v>-1.466639292869572</v>
      </c>
    </row>
    <row r="24" spans="1:61">
      <c r="A24" s="113">
        <f t="shared" si="20"/>
        <v>1.5299999999999989</v>
      </c>
      <c r="B24" s="110">
        <f t="shared" si="4"/>
        <v>0.53703357768133964</v>
      </c>
      <c r="C24" s="159">
        <f t="shared" si="5"/>
        <v>0.86980657120901406</v>
      </c>
      <c r="D24" s="113">
        <f t="shared" si="5"/>
        <v>3.871584903303046E-3</v>
      </c>
      <c r="E24" s="113">
        <f t="shared" si="5"/>
        <v>8.8401648069697317E-4</v>
      </c>
      <c r="F24" s="113">
        <f t="shared" si="5"/>
        <v>3.3191671597558041E-3</v>
      </c>
      <c r="G24" s="113">
        <f t="shared" si="5"/>
        <v>9.5077554630994699E-4</v>
      </c>
      <c r="H24" s="113">
        <f t="shared" si="5"/>
        <v>4.7166273012600108E-4</v>
      </c>
      <c r="I24" s="113"/>
      <c r="J24" s="113"/>
      <c r="K24" s="113">
        <f t="shared" si="6"/>
        <v>0.89230103120296933</v>
      </c>
      <c r="L24" s="107">
        <f t="shared" si="7"/>
        <v>0.8793037780292059</v>
      </c>
      <c r="M24" s="111">
        <f t="shared" si="8"/>
        <v>0.88197240251460574</v>
      </c>
      <c r="N24" s="113">
        <f t="shared" si="9"/>
        <v>1.2997253173763412E-2</v>
      </c>
      <c r="O24" s="114">
        <f t="shared" si="10"/>
        <v>4.1066570635160726</v>
      </c>
      <c r="P24" s="111">
        <f t="shared" si="11"/>
        <v>3.0826397643281505</v>
      </c>
      <c r="Q24" s="111">
        <v>1.5307900000000001</v>
      </c>
      <c r="R24" s="107">
        <f t="shared" si="12"/>
        <v>1.5711061293113768</v>
      </c>
      <c r="S24" s="115">
        <v>0.90058636363636357</v>
      </c>
      <c r="T24" s="107">
        <f t="shared" si="21"/>
        <v>5</v>
      </c>
      <c r="U24" s="111">
        <f t="shared" si="13"/>
        <v>3.2639082286545311</v>
      </c>
      <c r="V24" s="111">
        <f t="shared" si="14"/>
        <v>3.163908228654531</v>
      </c>
      <c r="W24" s="111">
        <f t="shared" si="15"/>
        <v>3.0826397643281505</v>
      </c>
      <c r="X24" s="111">
        <f t="shared" si="16"/>
        <v>5.882056219523756</v>
      </c>
      <c r="Y24" s="115">
        <v>1.581</v>
      </c>
      <c r="Z24" s="115">
        <v>0.75258625983543304</v>
      </c>
      <c r="AA24" s="113">
        <f t="shared" si="17"/>
        <v>4.7238957913599E-3</v>
      </c>
      <c r="AB24" s="113">
        <f t="shared" si="17"/>
        <v>-6.9309031094488702E-2</v>
      </c>
      <c r="AC24" s="113">
        <f t="shared" si="17"/>
        <v>-0.14329722816339574</v>
      </c>
      <c r="AD24" s="113">
        <f t="shared" si="17"/>
        <v>7.8801692056960596E-2</v>
      </c>
      <c r="AE24" s="113">
        <f t="shared" si="17"/>
        <v>0.15292454204295525</v>
      </c>
      <c r="AF24" s="113">
        <f t="shared" si="17"/>
        <v>0.22709267578181769</v>
      </c>
      <c r="AG24" s="113">
        <f t="shared" si="17"/>
        <v>0.30130637015006068</v>
      </c>
      <c r="AH24" s="113">
        <f t="shared" si="17"/>
        <v>0.37556595027229533</v>
      </c>
      <c r="AI24" s="113">
        <f t="shared" si="17"/>
        <v>0.44987179119405729</v>
      </c>
      <c r="AJ24" s="113">
        <f t="shared" si="17"/>
        <v>0.52422431984395368</v>
      </c>
      <c r="AK24" s="113">
        <f t="shared" si="17"/>
        <v>0.59862401730979187</v>
      </c>
      <c r="AL24" s="113">
        <f t="shared" si="17"/>
        <v>0.67307142145803034</v>
      </c>
      <c r="AM24" s="113">
        <f t="shared" si="17"/>
        <v>0.74756712993127239</v>
      </c>
      <c r="AN24" s="113">
        <f t="shared" si="17"/>
        <v>0.82211180356477243</v>
      </c>
      <c r="AO24" s="113">
        <f t="shared" si="17"/>
        <v>0.89670617027021693</v>
      </c>
      <c r="AP24" s="113">
        <f t="shared" si="17"/>
        <v>0.97135102944362994</v>
      </c>
      <c r="AQ24" s="113">
        <f t="shared" si="18"/>
        <v>1.0460472569644239</v>
      </c>
      <c r="AR24" s="113">
        <f t="shared" si="18"/>
        <v>-0.21724079088680837</v>
      </c>
      <c r="AS24" s="113">
        <f t="shared" si="18"/>
        <v>-0.29113977111167455</v>
      </c>
      <c r="AT24" s="113">
        <f t="shared" si="18"/>
        <v>-0.36499417731305023</v>
      </c>
      <c r="AU24" s="113">
        <f t="shared" si="18"/>
        <v>-0.43880397463532894</v>
      </c>
      <c r="AV24" s="113">
        <f t="shared" si="18"/>
        <v>-0.51256908472256368</v>
      </c>
      <c r="AW24" s="113">
        <f t="shared" si="18"/>
        <v>-0.5862893853359471</v>
      </c>
      <c r="AX24" s="113">
        <f t="shared" si="18"/>
        <v>-0.65996470975408139</v>
      </c>
      <c r="AY24" s="113">
        <f t="shared" si="18"/>
        <v>-0.7335948459491346</v>
      </c>
      <c r="AZ24" s="113">
        <f t="shared" si="18"/>
        <v>-0.8071795355293071</v>
      </c>
      <c r="BA24" s="113">
        <f t="shared" si="18"/>
        <v>-0.88071847243515766</v>
      </c>
      <c r="BB24" s="113">
        <f t="shared" si="18"/>
        <v>-0.95421130137419363</v>
      </c>
      <c r="BC24" s="113">
        <f t="shared" si="18"/>
        <v>-1.0276576159746433</v>
      </c>
      <c r="BD24" s="113">
        <f t="shared" si="18"/>
        <v>-1.1010569566354214</v>
      </c>
      <c r="BE24" s="113">
        <f t="shared" si="18"/>
        <v>-1.1744088080448529</v>
      </c>
      <c r="BF24" s="113">
        <f t="shared" si="18"/>
        <v>-1.2477125963356348</v>
      </c>
      <c r="BG24" s="113">
        <f t="shared" si="19"/>
        <v>-1.320967685837622</v>
      </c>
      <c r="BH24" s="113">
        <f t="shared" si="19"/>
        <v>-1.3941733753831744</v>
      </c>
      <c r="BI24" s="113">
        <f t="shared" si="19"/>
        <v>-1.4673288941117391</v>
      </c>
    </row>
    <row r="25" spans="1:61">
      <c r="A25" s="113">
        <f t="shared" si="20"/>
        <v>1.5449999999999988</v>
      </c>
      <c r="B25" s="110">
        <f t="shared" si="4"/>
        <v>0.54229861275664692</v>
      </c>
      <c r="C25" s="159">
        <f t="shared" si="5"/>
        <v>0.87334256871743043</v>
      </c>
      <c r="D25" s="113">
        <f t="shared" si="5"/>
        <v>2.6339444725274335E-3</v>
      </c>
      <c r="E25" s="113">
        <f t="shared" si="5"/>
        <v>6.0564428249750858E-4</v>
      </c>
      <c r="F25" s="113">
        <f t="shared" si="5"/>
        <v>2.4029572234544796E-3</v>
      </c>
      <c r="G25" s="113">
        <f t="shared" si="5"/>
        <v>6.9172377062960309E-4</v>
      </c>
      <c r="H25" s="113">
        <f t="shared" si="5"/>
        <v>3.4773459180561427E-4</v>
      </c>
      <c r="I25" s="113"/>
      <c r="J25" s="113"/>
      <c r="K25" s="113">
        <f t="shared" si="6"/>
        <v>0.89331720658968794</v>
      </c>
      <c r="L25" s="107">
        <f t="shared" si="7"/>
        <v>0.88002457305834514</v>
      </c>
      <c r="M25" s="111">
        <f t="shared" si="8"/>
        <v>0.88198575055583794</v>
      </c>
      <c r="N25" s="113">
        <f t="shared" si="9"/>
        <v>1.3292633531342777E-2</v>
      </c>
      <c r="O25" s="114">
        <f t="shared" si="10"/>
        <v>4.0667866065887317</v>
      </c>
      <c r="P25" s="111">
        <f t="shared" si="11"/>
        <v>3.0828551841594423</v>
      </c>
      <c r="Q25" s="111">
        <v>1.5298099999999999</v>
      </c>
      <c r="R25" s="107">
        <f t="shared" si="12"/>
        <v>1.5710283072583342</v>
      </c>
      <c r="S25" s="115">
        <v>0.90058636363636357</v>
      </c>
      <c r="T25" s="107">
        <f t="shared" si="21"/>
        <v>5</v>
      </c>
      <c r="U25" s="111">
        <f t="shared" si="13"/>
        <v>3.2660013630148339</v>
      </c>
      <c r="V25" s="111">
        <f t="shared" si="14"/>
        <v>3.1660013630148338</v>
      </c>
      <c r="W25" s="111">
        <f t="shared" si="15"/>
        <v>3.0828551841594423</v>
      </c>
      <c r="X25" s="111">
        <f t="shared" si="16"/>
        <v>5.892315463815871</v>
      </c>
      <c r="Y25" s="115">
        <v>1.58</v>
      </c>
      <c r="Z25" s="115">
        <v>0.71442585824575189</v>
      </c>
      <c r="AA25" s="113">
        <f t="shared" si="17"/>
        <v>3.9484290909207603E-3</v>
      </c>
      <c r="AB25" s="113">
        <f t="shared" si="17"/>
        <v>-7.0083843479898281E-2</v>
      </c>
      <c r="AC25" s="113">
        <f t="shared" si="17"/>
        <v>-0.14407094993829342</v>
      </c>
      <c r="AD25" s="113">
        <f t="shared" si="17"/>
        <v>7.8026009427245288E-2</v>
      </c>
      <c r="AE25" s="113">
        <f t="shared" si="17"/>
        <v>0.1521490852827318</v>
      </c>
      <c r="AF25" s="113">
        <f t="shared" si="17"/>
        <v>0.22631789146087022</v>
      </c>
      <c r="AG25" s="113">
        <f t="shared" si="17"/>
        <v>0.30053271101437296</v>
      </c>
      <c r="AH25" s="113">
        <f t="shared" si="17"/>
        <v>0.37479387670918218</v>
      </c>
      <c r="AI25" s="113">
        <f t="shared" si="17"/>
        <v>0.44910177277108498</v>
      </c>
      <c r="AJ25" s="113">
        <f t="shared" si="17"/>
        <v>0.52345683693683398</v>
      </c>
      <c r="AK25" s="113">
        <f t="shared" si="17"/>
        <v>0.5978595628360831</v>
      </c>
      <c r="AL25" s="113">
        <f t="shared" si="17"/>
        <v>0.6723105027354892</v>
      </c>
      <c r="AM25" s="113">
        <f t="shared" si="17"/>
        <v>0.74681027068212913</v>
      </c>
      <c r="AN25" s="113">
        <f t="shared" si="17"/>
        <v>0.8213595460901385</v>
      </c>
      <c r="AO25" s="113">
        <f t="shared" si="17"/>
        <v>0.89595907782237016</v>
      </c>
      <c r="AP25" s="113">
        <f t="shared" si="17"/>
        <v>0.97060968882819132</v>
      </c>
      <c r="AQ25" s="113">
        <f t="shared" si="18"/>
        <v>1.0453122814095939</v>
      </c>
      <c r="AR25" s="113">
        <f t="shared" si="18"/>
        <v>-0.2180129865472028</v>
      </c>
      <c r="AS25" s="113">
        <f t="shared" si="18"/>
        <v>-0.29191000465939243</v>
      </c>
      <c r="AT25" s="113">
        <f t="shared" si="18"/>
        <v>-0.3657620109725721</v>
      </c>
      <c r="AU25" s="113">
        <f t="shared" si="18"/>
        <v>-0.4395689675626212</v>
      </c>
      <c r="AV25" s="113">
        <f t="shared" si="18"/>
        <v>-0.51333079169531048</v>
      </c>
      <c r="AW25" s="113">
        <f t="shared" si="18"/>
        <v>-0.58704735541433106</v>
      </c>
      <c r="AX25" s="113">
        <f t="shared" si="18"/>
        <v>-0.6607184849008324</v>
      </c>
      <c r="AY25" s="113">
        <f t="shared" si="18"/>
        <v>-0.73434395959694398</v>
      </c>
      <c r="AZ25" s="113">
        <f t="shared" si="18"/>
        <v>-0.80792351108288318</v>
      </c>
      <c r="BA25" s="113">
        <f t="shared" si="18"/>
        <v>-0.88145682169414963</v>
      </c>
      <c r="BB25" s="113">
        <f t="shared" si="18"/>
        <v>-0.95494352286190354</v>
      </c>
      <c r="BC25" s="113">
        <f t="shared" si="18"/>
        <v>-1.0283831931558554</v>
      </c>
      <c r="BD25" s="113">
        <f t="shared" si="18"/>
        <v>-1.101775356004739</v>
      </c>
      <c r="BE25" s="113">
        <f t="shared" si="18"/>
        <v>-1.1751194770646094</v>
      </c>
      <c r="BF25" s="113">
        <f t="shared" si="18"/>
        <v>-1.248414961199642</v>
      </c>
      <c r="BG25" s="113">
        <f t="shared" si="19"/>
        <v>-1.3216611490336732</v>
      </c>
      <c r="BH25" s="113">
        <f t="shared" si="19"/>
        <v>-1.3948573130231865</v>
      </c>
      <c r="BI25" s="113">
        <f t="shared" si="19"/>
        <v>-1.4680026529935899</v>
      </c>
    </row>
    <row r="26" spans="1:61">
      <c r="A26" s="113">
        <f t="shared" si="20"/>
        <v>1.5599999999999987</v>
      </c>
      <c r="B26" s="110">
        <f t="shared" si="4"/>
        <v>0.5475636478319541</v>
      </c>
      <c r="C26" s="159">
        <f t="shared" si="5"/>
        <v>0.87620369440284818</v>
      </c>
      <c r="D26" s="113">
        <f t="shared" si="5"/>
        <v>1.6657690117488125E-3</v>
      </c>
      <c r="E26" s="113">
        <f t="shared" si="5"/>
        <v>3.8476367191219644E-4</v>
      </c>
      <c r="F26" s="113">
        <f t="shared" si="5"/>
        <v>1.6302580816220493E-3</v>
      </c>
      <c r="G26" s="113">
        <f t="shared" si="5"/>
        <v>4.7448066483508124E-4</v>
      </c>
      <c r="H26" s="113">
        <f t="shared" si="5"/>
        <v>2.4328418735892937E-4</v>
      </c>
      <c r="I26" s="113"/>
      <c r="J26" s="113"/>
      <c r="K26" s="113">
        <f t="shared" si="6"/>
        <v>0.89412576496549034</v>
      </c>
      <c r="L26" s="107">
        <f t="shared" si="7"/>
        <v>0.88060225002032544</v>
      </c>
      <c r="M26" s="111">
        <f t="shared" si="8"/>
        <v>0.8819987258384967</v>
      </c>
      <c r="N26" s="113">
        <f t="shared" si="9"/>
        <v>1.352351494516494E-2</v>
      </c>
      <c r="O26" s="114">
        <f t="shared" si="10"/>
        <v>4.0276828892176866</v>
      </c>
      <c r="P26" s="111">
        <f t="shared" si="11"/>
        <v>3.0830535792541611</v>
      </c>
      <c r="Q26" s="111">
        <v>1.5290299999999999</v>
      </c>
      <c r="R26" s="107">
        <f t="shared" si="12"/>
        <v>1.5709526618573804</v>
      </c>
      <c r="S26" s="115">
        <v>0.90058636363636357</v>
      </c>
      <c r="T26" s="107">
        <f t="shared" si="21"/>
        <v>5</v>
      </c>
      <c r="U26" s="111">
        <f t="shared" si="13"/>
        <v>3.2676692478400593</v>
      </c>
      <c r="V26" s="111">
        <f t="shared" si="14"/>
        <v>3.1676692478400592</v>
      </c>
      <c r="W26" s="111">
        <f t="shared" si="15"/>
        <v>3.0830535792541611</v>
      </c>
      <c r="X26" s="111">
        <f t="shared" si="16"/>
        <v>5.9025547585646523</v>
      </c>
      <c r="Y26" s="115">
        <v>1.5790000000000002</v>
      </c>
      <c r="Z26" s="115">
        <v>0.6746366985229455</v>
      </c>
      <c r="AA26" s="113">
        <f t="shared" si="17"/>
        <v>3.1881730858517449E-3</v>
      </c>
      <c r="AB26" s="113">
        <f t="shared" si="17"/>
        <v>-7.0843444329311833E-2</v>
      </c>
      <c r="AC26" s="113">
        <f t="shared" si="17"/>
        <v>-0.14482945936441594</v>
      </c>
      <c r="AD26" s="113">
        <f t="shared" si="17"/>
        <v>7.7265536624768788E-2</v>
      </c>
      <c r="AE26" s="113">
        <f t="shared" si="17"/>
        <v>0.15138883748011817</v>
      </c>
      <c r="AF26" s="113">
        <f t="shared" si="17"/>
        <v>0.22555831527906256</v>
      </c>
      <c r="AG26" s="113">
        <f t="shared" si="17"/>
        <v>0.29977425933127566</v>
      </c>
      <c r="AH26" s="113">
        <f t="shared" si="17"/>
        <v>0.37403701015486895</v>
      </c>
      <c r="AI26" s="113">
        <f t="shared" si="17"/>
        <v>0.44834696129934215</v>
      </c>
      <c r="AJ26" s="113">
        <f t="shared" si="17"/>
        <v>0.52270456148887023</v>
      </c>
      <c r="AK26" s="113">
        <f t="shared" si="17"/>
        <v>0.59711031711398266</v>
      </c>
      <c r="AL26" s="113">
        <f t="shared" si="17"/>
        <v>0.67156479510511058</v>
      </c>
      <c r="AM26" s="113">
        <f t="shared" si="17"/>
        <v>0.74606862622773262</v>
      </c>
      <c r="AN26" s="113">
        <f t="shared" si="17"/>
        <v>0.82062250884613908</v>
      </c>
      <c r="AO26" s="113">
        <f t="shared" si="17"/>
        <v>0.89522721321138243</v>
      </c>
      <c r="AP26" s="113">
        <f t="shared" si="17"/>
        <v>0.96988358633908056</v>
      </c>
      <c r="AQ26" s="113">
        <f t="shared" si="18"/>
        <v>1.0445925575547592</v>
      </c>
      <c r="AR26" s="113">
        <f t="shared" si="18"/>
        <v>-0.21876996904910512</v>
      </c>
      <c r="AS26" s="113">
        <f t="shared" si="18"/>
        <v>-0.29266502419216883</v>
      </c>
      <c r="AT26" s="113">
        <f t="shared" si="18"/>
        <v>-0.36651462963886761</v>
      </c>
      <c r="AU26" s="113">
        <f t="shared" si="18"/>
        <v>-0.44031874429543855</v>
      </c>
      <c r="AV26" s="113">
        <f t="shared" si="18"/>
        <v>-0.51407728092107141</v>
      </c>
      <c r="AW26" s="113">
        <f t="shared" si="18"/>
        <v>-0.58779010568489065</v>
      </c>
      <c r="AX26" s="113">
        <f t="shared" si="18"/>
        <v>-0.66145703748267692</v>
      </c>
      <c r="AY26" s="113">
        <f t="shared" si="18"/>
        <v>-0.73507784700514167</v>
      </c>
      <c r="AZ26" s="113">
        <f t="shared" si="18"/>
        <v>-0.80865225554647169</v>
      </c>
      <c r="BA26" s="113">
        <f t="shared" si="18"/>
        <v>-0.88217993353851853</v>
      </c>
      <c r="BB26" s="113">
        <f t="shared" si="18"/>
        <v>-0.95566049879233339</v>
      </c>
      <c r="BC26" s="113">
        <f t="shared" si="18"/>
        <v>-1.02909351442466</v>
      </c>
      <c r="BD26" s="113">
        <f t="shared" si="18"/>
        <v>-1.1024784864423833</v>
      </c>
      <c r="BE26" s="113">
        <f t="shared" si="18"/>
        <v>-1.1758148609526671</v>
      </c>
      <c r="BF26" s="113">
        <f t="shared" si="18"/>
        <v>-1.2491020209604462</v>
      </c>
      <c r="BG26" s="113">
        <f t="shared" si="19"/>
        <v>-1.3223392827078904</v>
      </c>
      <c r="BH26" s="113">
        <f t="shared" si="19"/>
        <v>-1.3955258915021971</v>
      </c>
      <c r="BI26" s="113">
        <f t="shared" si="19"/>
        <v>-1.4686610169683172</v>
      </c>
    </row>
    <row r="27" spans="1:61">
      <c r="A27" s="113">
        <f t="shared" si="20"/>
        <v>1.5749999999999986</v>
      </c>
      <c r="B27" s="110">
        <f t="shared" si="4"/>
        <v>0.55282868290726128</v>
      </c>
      <c r="C27" s="159">
        <f t="shared" si="5"/>
        <v>0.87842244642258438</v>
      </c>
      <c r="D27" s="113">
        <f t="shared" si="5"/>
        <v>9.4160475461497681E-4</v>
      </c>
      <c r="E27" s="113">
        <f t="shared" si="5"/>
        <v>2.1753266325466348E-4</v>
      </c>
      <c r="F27" s="113">
        <f t="shared" si="5"/>
        <v>1.0044180823746125E-3</v>
      </c>
      <c r="G27" s="113">
        <f t="shared" si="5"/>
        <v>2.9879823929169613E-4</v>
      </c>
      <c r="H27" s="113">
        <f t="shared" si="5"/>
        <v>1.5802847008638992E-4</v>
      </c>
      <c r="I27" s="113"/>
      <c r="J27" s="113"/>
      <c r="K27" s="113">
        <f t="shared" si="6"/>
        <v>0.89485363145408614</v>
      </c>
      <c r="L27" s="107">
        <f t="shared" si="7"/>
        <v>0.88104282863220673</v>
      </c>
      <c r="M27" s="111">
        <f t="shared" si="8"/>
        <v>0.88201134200921816</v>
      </c>
      <c r="N27" s="113">
        <f t="shared" si="9"/>
        <v>1.3810802821879393E-2</v>
      </c>
      <c r="O27" s="114">
        <f t="shared" si="10"/>
        <v>3.9893240045584708</v>
      </c>
      <c r="P27" s="111">
        <f t="shared" si="11"/>
        <v>3.0832587293908125</v>
      </c>
      <c r="Q27" s="111">
        <v>1.5280800000000001</v>
      </c>
      <c r="R27" s="107">
        <f t="shared" si="12"/>
        <v>1.5708791132663884</v>
      </c>
      <c r="S27" s="115">
        <v>0.90058636363636357</v>
      </c>
      <c r="T27" s="107">
        <f t="shared" si="21"/>
        <v>5</v>
      </c>
      <c r="U27" s="111">
        <f t="shared" si="13"/>
        <v>3.2697029496019261</v>
      </c>
      <c r="V27" s="111">
        <f t="shared" si="14"/>
        <v>3.169702949601926</v>
      </c>
      <c r="W27" s="111">
        <f t="shared" si="15"/>
        <v>3.0832587293908125</v>
      </c>
      <c r="X27" s="111">
        <f t="shared" si="16"/>
        <v>5.9128113614098297</v>
      </c>
      <c r="Y27" s="115">
        <v>1.5780000000000001</v>
      </c>
      <c r="Z27" s="115">
        <v>0.63480642355834571</v>
      </c>
      <c r="AA27" s="113">
        <f t="shared" si="17"/>
        <v>2.4426835766585692E-3</v>
      </c>
      <c r="AB27" s="113">
        <f t="shared" si="17"/>
        <v>-7.1588279452203946E-2</v>
      </c>
      <c r="AC27" s="113">
        <f t="shared" si="17"/>
        <v>-0.14557320385647432</v>
      </c>
      <c r="AD27" s="113">
        <f t="shared" si="17"/>
        <v>7.6519831066034799E-2</v>
      </c>
      <c r="AE27" s="113">
        <f t="shared" si="17"/>
        <v>0.15064335767518042</v>
      </c>
      <c r="AF27" s="113">
        <f t="shared" si="17"/>
        <v>0.2248135079094335</v>
      </c>
      <c r="AG27" s="113">
        <f t="shared" si="17"/>
        <v>0.29903057741837608</v>
      </c>
      <c r="AH27" s="113">
        <f t="shared" si="17"/>
        <v>0.37329491458570974</v>
      </c>
      <c r="AI27" s="113">
        <f t="shared" si="17"/>
        <v>0.44760692243116174</v>
      </c>
      <c r="AJ27" s="113">
        <f t="shared" si="17"/>
        <v>0.52196706084923128</v>
      </c>
      <c r="AK27" s="113">
        <f t="shared" si="17"/>
        <v>0.5963758492146729</v>
      </c>
      <c r="AL27" s="113">
        <f t="shared" si="17"/>
        <v>0.67083386939044543</v>
      </c>
      <c r="AM27" s="113">
        <f t="shared" si="17"/>
        <v>0.74534176918058781</v>
      </c>
      <c r="AN27" s="113">
        <f t="shared" si="17"/>
        <v>0.8199002662783581</v>
      </c>
      <c r="AO27" s="113">
        <f t="shared" si="17"/>
        <v>0.89451015276920298</v>
      </c>
      <c r="AP27" s="113">
        <f t="shared" ref="AK27:AZ42" si="22">$M$5*AP$10+($O27*$R27*COS(PI()/180*$P27)-($O27^2*1^2-($O27*$R27*SIN(PI()/180*$P27)+$M$5*AP$10)^2)^0.5)*TAN(PI()/180*$D$6)</f>
        <v>0.9691723002590813</v>
      </c>
      <c r="AQ27" s="113">
        <f t="shared" si="22"/>
        <v>1.0438876657117129</v>
      </c>
      <c r="AR27" s="113">
        <f t="shared" si="22"/>
        <v>-0.2195121874087318</v>
      </c>
      <c r="AS27" s="113">
        <f t="shared" si="22"/>
        <v>-0.29340528032474805</v>
      </c>
      <c r="AT27" s="113">
        <f t="shared" si="22"/>
        <v>-0.36725248552271206</v>
      </c>
      <c r="AU27" s="113">
        <f t="shared" si="18"/>
        <v>-0.44105375863827456</v>
      </c>
      <c r="AV27" s="113">
        <f t="shared" si="18"/>
        <v>-0.51480900779559535</v>
      </c>
      <c r="AW27" s="113">
        <f t="shared" si="18"/>
        <v>-0.58851809313162695</v>
      </c>
      <c r="AX27" s="113">
        <f t="shared" si="18"/>
        <v>-0.66218082606786854</v>
      </c>
      <c r="AY27" s="113">
        <f t="shared" si="18"/>
        <v>-0.73579696832068964</v>
      </c>
      <c r="AZ27" s="113">
        <f t="shared" si="18"/>
        <v>-0.80936623063799318</v>
      </c>
      <c r="BA27" s="113">
        <f t="shared" si="18"/>
        <v>-0.88288827124638769</v>
      </c>
      <c r="BB27" s="113">
        <f t="shared" si="18"/>
        <v>-0.95636269398907192</v>
      </c>
      <c r="BC27" s="113">
        <f t="shared" si="18"/>
        <v>-1.0297890461302039</v>
      </c>
      <c r="BD27" s="113">
        <f t="shared" si="18"/>
        <v>-1.1031668157965271</v>
      </c>
      <c r="BE27" s="113">
        <f t="shared" si="18"/>
        <v>-1.176495429021287</v>
      </c>
      <c r="BF27" s="113">
        <f t="shared" si="18"/>
        <v>-1.2497742463488675</v>
      </c>
      <c r="BG27" s="113">
        <f t="shared" si="19"/>
        <v>-1.3230025589508509</v>
      </c>
      <c r="BH27" s="113">
        <f t="shared" si="19"/>
        <v>-1.3961795841951621</v>
      </c>
      <c r="BI27" s="113">
        <f t="shared" si="19"/>
        <v>-1.4693044605992245</v>
      </c>
    </row>
    <row r="28" spans="1:61">
      <c r="A28" s="113">
        <f t="shared" si="20"/>
        <v>1.5899999999999985</v>
      </c>
      <c r="B28" s="110">
        <f t="shared" si="4"/>
        <v>0.55809371798256857</v>
      </c>
      <c r="C28" s="159">
        <f t="shared" si="5"/>
        <v>0.88003066881865721</v>
      </c>
      <c r="D28" s="113">
        <f t="shared" si="5"/>
        <v>4.3786905998221973E-4</v>
      </c>
      <c r="E28" s="113">
        <f t="shared" si="5"/>
        <v>1.0020387532946848E-4</v>
      </c>
      <c r="F28" s="113">
        <f t="shared" si="5"/>
        <v>5.2800558050784374E-4</v>
      </c>
      <c r="G28" s="113">
        <f t="shared" si="5"/>
        <v>1.6422612134904988E-4</v>
      </c>
      <c r="H28" s="113">
        <f t="shared" si="5"/>
        <v>9.1599032842548412E-5</v>
      </c>
      <c r="I28" s="113"/>
      <c r="J28" s="113"/>
      <c r="K28" s="113">
        <f t="shared" si="6"/>
        <v>0.89545149605983043</v>
      </c>
      <c r="L28" s="107">
        <f t="shared" si="7"/>
        <v>0.88135257248866827</v>
      </c>
      <c r="M28" s="111">
        <f t="shared" si="8"/>
        <v>0.8820236121008852</v>
      </c>
      <c r="N28" s="113">
        <f t="shared" si="9"/>
        <v>1.4098923571162122E-2</v>
      </c>
      <c r="O28" s="114">
        <f t="shared" si="10"/>
        <v>3.9516888724399952</v>
      </c>
      <c r="P28" s="111">
        <f t="shared" si="11"/>
        <v>3.0834599287347544</v>
      </c>
      <c r="Q28" s="111">
        <v>1.5271300000000003</v>
      </c>
      <c r="R28" s="107">
        <f t="shared" si="12"/>
        <v>1.5708075852425658</v>
      </c>
      <c r="S28" s="115">
        <v>0.90058636363636357</v>
      </c>
      <c r="T28" s="107">
        <f t="shared" si="21"/>
        <v>5</v>
      </c>
      <c r="U28" s="111">
        <f t="shared" si="13"/>
        <v>3.2717391857537073</v>
      </c>
      <c r="V28" s="111">
        <f t="shared" si="14"/>
        <v>3.1717391857537072</v>
      </c>
      <c r="W28" s="111">
        <f t="shared" si="15"/>
        <v>3.0834599287347544</v>
      </c>
      <c r="X28" s="111">
        <f t="shared" si="16"/>
        <v>5.9230681546048665</v>
      </c>
      <c r="Y28" s="115">
        <v>1.5760000000000001</v>
      </c>
      <c r="Z28" s="115">
        <v>0.59595760504056361</v>
      </c>
      <c r="AA28" s="113">
        <f t="shared" ref="AA28:AP43" si="23">$M$5*AA$10+($O28*$R28*COS(PI()/180*$P28)-($O28^2*1^2-($O28*$R28*SIN(PI()/180*$P28)+$M$5*AA$10)^2)^0.5)*TAN(PI()/180*$D$6)</f>
        <v>1.7115320325825911E-3</v>
      </c>
      <c r="AB28" s="113">
        <f t="shared" si="23"/>
        <v>-7.2318776639376539E-2</v>
      </c>
      <c r="AC28" s="113">
        <f t="shared" si="23"/>
        <v>-0.14630261046674906</v>
      </c>
      <c r="AD28" s="113">
        <f t="shared" si="23"/>
        <v>7.5788463477779539E-2</v>
      </c>
      <c r="AE28" s="113">
        <f t="shared" si="23"/>
        <v>0.14991221584871833</v>
      </c>
      <c r="AF28" s="113">
        <f t="shared" si="23"/>
        <v>0.22408303858277512</v>
      </c>
      <c r="AG28" s="113">
        <f t="shared" si="23"/>
        <v>0.29830123375201806</v>
      </c>
      <c r="AH28" s="113">
        <f t="shared" si="23"/>
        <v>0.37256715771910331</v>
      </c>
      <c r="AI28" s="113">
        <f t="shared" si="23"/>
        <v>0.44688122312082035</v>
      </c>
      <c r="AJ28" s="113">
        <f t="shared" si="23"/>
        <v>0.52124390120567243</v>
      </c>
      <c r="AK28" s="113">
        <f t="shared" si="22"/>
        <v>0.59565572455733551</v>
      </c>
      <c r="AL28" s="113">
        <f t="shared" si="22"/>
        <v>0.6701172902421052</v>
      </c>
      <c r="AM28" s="113">
        <f t="shared" si="22"/>
        <v>0.74462926342569236</v>
      </c>
      <c r="AN28" s="113">
        <f t="shared" si="22"/>
        <v>0.81919238151321228</v>
      </c>
      <c r="AO28" s="113">
        <f t="shared" si="22"/>
        <v>0.89380745887620328</v>
      </c>
      <c r="AP28" s="113">
        <f t="shared" si="22"/>
        <v>0.9684753922423619</v>
      </c>
      <c r="AQ28" s="113">
        <f t="shared" si="22"/>
        <v>1.0431971668378532</v>
      </c>
      <c r="AR28" s="113">
        <f t="shared" si="22"/>
        <v>-0.22024006793993517</v>
      </c>
      <c r="AS28" s="113">
        <f t="shared" si="22"/>
        <v>-0.29413119863106374</v>
      </c>
      <c r="AT28" s="113">
        <f t="shared" si="22"/>
        <v>-0.36797600345478038</v>
      </c>
      <c r="AU28" s="113">
        <f t="shared" si="22"/>
        <v>-0.44177443467305327</v>
      </c>
      <c r="AV28" s="113">
        <f t="shared" si="22"/>
        <v>-0.51552639564405633</v>
      </c>
      <c r="AW28" s="113">
        <f t="shared" si="22"/>
        <v>-0.58923174031203807</v>
      </c>
      <c r="AX28" s="113">
        <f t="shared" si="22"/>
        <v>-0.66289027243187182</v>
      </c>
      <c r="AY28" s="113">
        <f t="shared" si="22"/>
        <v>-0.73650174451861894</v>
      </c>
      <c r="AZ28" s="113">
        <f t="shared" si="22"/>
        <v>-0.81006585650886365</v>
      </c>
      <c r="BA28" s="113">
        <f t="shared" ref="BA28:BI43" si="24">$M$5*BA$10+($O28*$R28*COS(PI()/180*$P28)-($O28^2*1^2-($O28*$R28*SIN(PI()/180*$P28)+$M$5*BA$10)^2)^0.5)*TAN(PI()/180*$D$6)</f>
        <v>-0.88358225411669733</v>
      </c>
      <c r="BB28" s="113">
        <f t="shared" si="24"/>
        <v>-0.95705052686294834</v>
      </c>
      <c r="BC28" s="113">
        <f t="shared" si="24"/>
        <v>-1.0304702057514645</v>
      </c>
      <c r="BD28" s="113">
        <f t="shared" si="24"/>
        <v>-1.103840760560822</v>
      </c>
      <c r="BE28" s="113">
        <f t="shared" si="24"/>
        <v>-1.1771615967136058</v>
      </c>
      <c r="BF28" s="113">
        <f t="shared" si="24"/>
        <v>-1.2504320516781944</v>
      </c>
      <c r="BG28" s="113">
        <f t="shared" si="24"/>
        <v>-1.3236513908495442</v>
      </c>
      <c r="BH28" s="113">
        <f t="shared" si="24"/>
        <v>-1.3968188028455539</v>
      </c>
      <c r="BI28" s="113">
        <f t="shared" si="24"/>
        <v>-1.4699333941437944</v>
      </c>
    </row>
    <row r="29" spans="1:61">
      <c r="A29" s="113">
        <f t="shared" si="20"/>
        <v>1.6049999999999984</v>
      </c>
      <c r="B29" s="110">
        <f t="shared" si="4"/>
        <v>0.56335875305787575</v>
      </c>
      <c r="C29" s="159">
        <f t="shared" si="5"/>
        <v>0.88105946124562762</v>
      </c>
      <c r="D29" s="113">
        <f t="shared" si="5"/>
        <v>1.327421737129782E-4</v>
      </c>
      <c r="E29" s="113">
        <f t="shared" si="5"/>
        <v>2.9140823408048886E-5</v>
      </c>
      <c r="F29" s="113">
        <f t="shared" si="5"/>
        <v>2.0287226887485597E-4</v>
      </c>
      <c r="G29" s="113">
        <f t="shared" si="5"/>
        <v>7.0138035783075408E-5</v>
      </c>
      <c r="H29" s="113">
        <f t="shared" si="5"/>
        <v>4.3555612499523694E-5</v>
      </c>
      <c r="I29" s="113"/>
      <c r="J29" s="113"/>
      <c r="K29" s="113">
        <f t="shared" si="6"/>
        <v>0.89592576443305716</v>
      </c>
      <c r="L29" s="107">
        <f t="shared" si="7"/>
        <v>0.88153791015990601</v>
      </c>
      <c r="M29" s="111">
        <f t="shared" si="8"/>
        <v>0.88203554856515964</v>
      </c>
      <c r="N29" s="113">
        <f t="shared" si="9"/>
        <v>1.438785427315115E-2</v>
      </c>
      <c r="O29" s="114">
        <f t="shared" si="10"/>
        <v>3.9147572007349485</v>
      </c>
      <c r="P29" s="111">
        <f t="shared" si="11"/>
        <v>3.0836573190945105</v>
      </c>
      <c r="Q29" s="111">
        <v>1.5261800000000005</v>
      </c>
      <c r="R29" s="107">
        <f t="shared" si="12"/>
        <v>1.5707380049511355</v>
      </c>
      <c r="S29" s="115">
        <v>0.90058636363636357</v>
      </c>
      <c r="T29" s="107">
        <f t="shared" si="21"/>
        <v>5</v>
      </c>
      <c r="U29" s="111">
        <f t="shared" si="13"/>
        <v>3.2737779610384634</v>
      </c>
      <c r="V29" s="111">
        <f t="shared" si="14"/>
        <v>3.1737779610384633</v>
      </c>
      <c r="W29" s="111">
        <f t="shared" si="15"/>
        <v>3.0836573190945105</v>
      </c>
      <c r="X29" s="111">
        <f t="shared" si="16"/>
        <v>5.9333251384894208</v>
      </c>
      <c r="Y29" s="115">
        <v>1.57</v>
      </c>
      <c r="Z29" s="115">
        <v>0.59595683847432857</v>
      </c>
      <c r="AA29" s="113">
        <f t="shared" si="23"/>
        <v>9.9430688236006037E-4</v>
      </c>
      <c r="AB29" s="113">
        <f t="shared" si="23"/>
        <v>-7.3035347461939668E-2</v>
      </c>
      <c r="AC29" s="113">
        <f t="shared" si="23"/>
        <v>-0.14701809076568811</v>
      </c>
      <c r="AD29" s="113">
        <f t="shared" si="23"/>
        <v>7.5071022288729139E-2</v>
      </c>
      <c r="AE29" s="113">
        <f t="shared" si="23"/>
        <v>0.1491950004294694</v>
      </c>
      <c r="AF29" s="113">
        <f t="shared" si="23"/>
        <v>0.22336649572799677</v>
      </c>
      <c r="AG29" s="113">
        <f t="shared" si="23"/>
        <v>0.29758581676187468</v>
      </c>
      <c r="AH29" s="113">
        <f t="shared" si="23"/>
        <v>0.37185332798685095</v>
      </c>
      <c r="AI29" s="113">
        <f t="shared" si="23"/>
        <v>0.44616945180479278</v>
      </c>
      <c r="AJ29" s="113">
        <f t="shared" si="23"/>
        <v>0.52053467100356687</v>
      </c>
      <c r="AK29" s="113">
        <f t="shared" si="22"/>
        <v>0.59494953160276309</v>
      </c>
      <c r="AL29" s="113">
        <f t="shared" si="22"/>
        <v>0.66941464614588964</v>
      </c>
      <c r="AM29" s="113">
        <f t="shared" si="22"/>
        <v>0.74393069748746699</v>
      </c>
      <c r="AN29" s="113">
        <f t="shared" si="22"/>
        <v>0.81849844313259756</v>
      </c>
      <c r="AO29" s="113">
        <f t="shared" si="22"/>
        <v>0.89311872019737348</v>
      </c>
      <c r="AP29" s="113">
        <f t="shared" si="22"/>
        <v>0.96779245107131706</v>
      </c>
      <c r="AQ29" s="113">
        <f t="shared" si="22"/>
        <v>1.0425206498784201</v>
      </c>
      <c r="AR29" s="113">
        <f t="shared" si="22"/>
        <v>-0.22095402221138821</v>
      </c>
      <c r="AS29" s="113">
        <f t="shared" si="22"/>
        <v>-0.29484319067604864</v>
      </c>
      <c r="AT29" s="113">
        <f t="shared" si="22"/>
        <v>-0.36868559499317854</v>
      </c>
      <c r="AU29" s="113">
        <f t="shared" si="22"/>
        <v>-0.44248118394654196</v>
      </c>
      <c r="AV29" s="113">
        <f t="shared" si="22"/>
        <v>-0.51622985599559357</v>
      </c>
      <c r="AW29" s="113">
        <f t="shared" si="22"/>
        <v>-0.58993145872915198</v>
      </c>
      <c r="AX29" s="113">
        <f t="shared" si="22"/>
        <v>-0.66358578804042545</v>
      </c>
      <c r="AY29" s="113">
        <f t="shared" si="22"/>
        <v>-0.73719258701290402</v>
      </c>
      <c r="AZ29" s="113">
        <f t="shared" si="22"/>
        <v>-0.81075154450278886</v>
      </c>
      <c r="BA29" s="113">
        <f t="shared" si="24"/>
        <v>-0.88426229339945706</v>
      </c>
      <c r="BB29" s="113">
        <f t="shared" si="24"/>
        <v>-0.95772440854083873</v>
      </c>
      <c r="BC29" s="113">
        <f t="shared" si="24"/>
        <v>-1.0311374042554042</v>
      </c>
      <c r="BD29" s="113">
        <f t="shared" si="24"/>
        <v>-1.1045007314965671</v>
      </c>
      <c r="BE29" s="113">
        <f t="shared" si="24"/>
        <v>-1.1778137745285429</v>
      </c>
      <c r="BF29" s="113">
        <f t="shared" si="24"/>
        <v>-1.2510758471148336</v>
      </c>
      <c r="BG29" s="113">
        <f t="shared" si="24"/>
        <v>-1.3242861881513026</v>
      </c>
      <c r="BH29" s="113">
        <f t="shared" si="24"/>
        <v>-1.3974439566749282</v>
      </c>
      <c r="BI29" s="113">
        <f t="shared" si="24"/>
        <v>-1.4705482261663776</v>
      </c>
    </row>
    <row r="30" spans="1:61">
      <c r="A30" s="113">
        <f t="shared" si="20"/>
        <v>1.6199999999999983</v>
      </c>
      <c r="B30" s="110">
        <f t="shared" si="4"/>
        <v>0.56862378813318304</v>
      </c>
      <c r="C30" s="159">
        <f t="shared" si="5"/>
        <v>0.88153911498688808</v>
      </c>
      <c r="D30" s="113">
        <f t="shared" si="5"/>
        <v>6.0629066061776716E-6</v>
      </c>
      <c r="E30" s="113">
        <f t="shared" si="5"/>
        <v>8.3181951822780559E-7</v>
      </c>
      <c r="F30" s="113">
        <f t="shared" si="5"/>
        <v>3.0207923936990186E-5</v>
      </c>
      <c r="G30" s="113">
        <f t="shared" si="5"/>
        <v>1.5753560779759109E-5</v>
      </c>
      <c r="H30" s="113">
        <f t="shared" si="5"/>
        <v>1.3396583340255622E-5</v>
      </c>
      <c r="I30" s="113"/>
      <c r="J30" s="113"/>
      <c r="K30" s="113">
        <f t="shared" si="6"/>
        <v>0.89628294081040016</v>
      </c>
      <c r="L30" s="107">
        <f t="shared" si="7"/>
        <v>0.88160536778106957</v>
      </c>
      <c r="M30" s="111">
        <f t="shared" si="8"/>
        <v>0.88204716330304089</v>
      </c>
      <c r="N30" s="113">
        <f t="shared" si="9"/>
        <v>1.4677573029330544E-2</v>
      </c>
      <c r="O30" s="114">
        <f t="shared" si="10"/>
        <v>3.8785094488762919</v>
      </c>
      <c r="P30" s="111">
        <f t="shared" si="11"/>
        <v>3.0838510360249014</v>
      </c>
      <c r="Q30" s="111">
        <v>1.5252300000000008</v>
      </c>
      <c r="R30" s="107">
        <f t="shared" si="12"/>
        <v>1.5706703027856639</v>
      </c>
      <c r="S30" s="115">
        <v>0.90058636363636357</v>
      </c>
      <c r="T30" s="107">
        <f t="shared" si="21"/>
        <v>5</v>
      </c>
      <c r="U30" s="111">
        <f t="shared" si="13"/>
        <v>3.2758192802111039</v>
      </c>
      <c r="V30" s="111">
        <f t="shared" si="14"/>
        <v>3.1758192802111038</v>
      </c>
      <c r="W30" s="111">
        <f t="shared" si="15"/>
        <v>3.0838510360249014</v>
      </c>
      <c r="X30" s="111">
        <f t="shared" si="16"/>
        <v>5.9435823134032146</v>
      </c>
      <c r="Y30" s="115">
        <v>1.5690000000000002</v>
      </c>
      <c r="Z30" s="115">
        <v>0.52343368367336929</v>
      </c>
      <c r="AA30" s="113">
        <f t="shared" si="23"/>
        <v>2.9061221845209928E-4</v>
      </c>
      <c r="AB30" s="113">
        <f t="shared" si="23"/>
        <v>-7.3738387827278776E-2</v>
      </c>
      <c r="AC30" s="113">
        <f t="shared" si="23"/>
        <v>-0.14772004066001487</v>
      </c>
      <c r="AD30" s="113">
        <f t="shared" si="23"/>
        <v>7.4367111591334537E-2</v>
      </c>
      <c r="AE30" s="113">
        <f t="shared" si="23"/>
        <v>0.14849131550989603</v>
      </c>
      <c r="AF30" s="113">
        <f t="shared" si="23"/>
        <v>0.22266348343773273</v>
      </c>
      <c r="AG30" s="113">
        <f t="shared" si="23"/>
        <v>0.29688393054134465</v>
      </c>
      <c r="AH30" s="113">
        <f t="shared" si="23"/>
        <v>0.37115302948448237</v>
      </c>
      <c r="AI30" s="113">
        <f t="shared" si="23"/>
        <v>0.44547121258329136</v>
      </c>
      <c r="AJ30" s="113">
        <f t="shared" si="23"/>
        <v>0.51983897435204884</v>
      </c>
      <c r="AK30" s="113">
        <f t="shared" si="22"/>
        <v>0.59425687447556241</v>
      </c>
      <c r="AL30" s="113">
        <f t="shared" si="22"/>
        <v>0.66872554125151706</v>
      </c>
      <c r="AM30" s="113">
        <f t="shared" si="22"/>
        <v>0.74324567555444954</v>
      </c>
      <c r="AN30" s="113">
        <f t="shared" si="22"/>
        <v>0.81781805538287888</v>
      </c>
      <c r="AO30" s="113">
        <f t="shared" si="22"/>
        <v>0.89244354106276957</v>
      </c>
      <c r="AP30" s="113">
        <f t="shared" si="22"/>
        <v>0.96712308119438539</v>
      </c>
      <c r="AQ30" s="113">
        <f t="shared" si="22"/>
        <v>1.0418577194462522</v>
      </c>
      <c r="AR30" s="113">
        <f t="shared" si="22"/>
        <v>-0.22165444612803953</v>
      </c>
      <c r="AS30" s="113">
        <f t="shared" si="22"/>
        <v>-0.29554165236091112</v>
      </c>
      <c r="AT30" s="113">
        <f t="shared" si="22"/>
        <v>-0.36938165603228623</v>
      </c>
      <c r="AU30" s="113">
        <f t="shared" si="22"/>
        <v>-0.44317440234177419</v>
      </c>
      <c r="AV30" s="113">
        <f t="shared" si="22"/>
        <v>-0.51691978471559308</v>
      </c>
      <c r="AW30" s="113">
        <f t="shared" si="22"/>
        <v>-0.59061764422219887</v>
      </c>
      <c r="AX30" s="113">
        <f t="shared" si="22"/>
        <v>-0.66426776869538373</v>
      </c>
      <c r="AY30" s="113">
        <f t="shared" si="22"/>
        <v>-0.73786989155347626</v>
      </c>
      <c r="AZ30" s="113">
        <f t="shared" si="22"/>
        <v>-0.81142369029915729</v>
      </c>
      <c r="BA30" s="113">
        <f t="shared" si="24"/>
        <v>-0.88492878467990899</v>
      </c>
      <c r="BB30" s="113">
        <f t="shared" si="24"/>
        <v>-0.95838473448413775</v>
      </c>
      <c r="BC30" s="113">
        <f t="shared" si="24"/>
        <v>-1.031791036942407</v>
      </c>
      <c r="BD30" s="113">
        <f t="shared" si="24"/>
        <v>-1.105147123696838</v>
      </c>
      <c r="BE30" s="113">
        <f t="shared" si="24"/>
        <v>-1.1784523572943764</v>
      </c>
      <c r="BF30" s="113">
        <f t="shared" si="24"/>
        <v>-1.2517060271510585</v>
      </c>
      <c r="BG30" s="113">
        <f t="shared" si="24"/>
        <v>-1.3249073449243534</v>
      </c>
      <c r="BH30" s="113">
        <f t="shared" si="24"/>
        <v>-1.398055439218743</v>
      </c>
      <c r="BI30" s="113">
        <f t="shared" si="24"/>
        <v>-1.4711493495354953</v>
      </c>
    </row>
    <row r="31" spans="1:61">
      <c r="A31" s="113">
        <f t="shared" si="20"/>
        <v>1.6349999999999982</v>
      </c>
      <c r="B31" s="110">
        <f t="shared" si="4"/>
        <v>0.57388882320849022</v>
      </c>
      <c r="C31" s="159">
        <f t="shared" si="5"/>
        <v>0.88149906069752726</v>
      </c>
      <c r="D31" s="113">
        <f t="shared" si="5"/>
        <v>3.9226926057467757E-5</v>
      </c>
      <c r="E31" s="113">
        <f t="shared" si="5"/>
        <v>1.1900148493170052E-5</v>
      </c>
      <c r="F31" s="113">
        <f t="shared" si="5"/>
        <v>1.0594604559897741E-5</v>
      </c>
      <c r="G31" s="113">
        <f t="shared" si="5"/>
        <v>1.5891281689234835E-7</v>
      </c>
      <c r="H31" s="113">
        <f t="shared" si="5"/>
        <v>5.689421308522079E-7</v>
      </c>
      <c r="I31" s="113"/>
      <c r="J31" s="113"/>
      <c r="K31" s="113">
        <f t="shared" si="6"/>
        <v>0.89652956914087512</v>
      </c>
      <c r="L31" s="107">
        <f t="shared" si="7"/>
        <v>0.88156151023158558</v>
      </c>
      <c r="M31" s="111">
        <f t="shared" si="8"/>
        <v>0.88205846769358465</v>
      </c>
      <c r="N31" s="113">
        <f t="shared" si="9"/>
        <v>1.4968058909289513E-2</v>
      </c>
      <c r="O31" s="114">
        <f t="shared" si="10"/>
        <v>3.8429267933820142</v>
      </c>
      <c r="P31" s="111">
        <f t="shared" si="11"/>
        <v>3.0840412091521245</v>
      </c>
      <c r="Q31" s="111">
        <v>1.524280000000001</v>
      </c>
      <c r="R31" s="107">
        <f t="shared" si="12"/>
        <v>1.5706044121992411</v>
      </c>
      <c r="S31" s="115">
        <v>0.90058636363636357</v>
      </c>
      <c r="T31" s="107">
        <f t="shared" si="21"/>
        <v>5</v>
      </c>
      <c r="U31" s="111">
        <f t="shared" si="13"/>
        <v>3.2778631480384264</v>
      </c>
      <c r="V31" s="111">
        <f t="shared" si="14"/>
        <v>3.1778631480384263</v>
      </c>
      <c r="W31" s="111">
        <f t="shared" si="15"/>
        <v>3.0840412091521245</v>
      </c>
      <c r="X31" s="111">
        <f t="shared" si="16"/>
        <v>5.953839679686026</v>
      </c>
      <c r="Y31" s="115">
        <v>1.5680000000000003</v>
      </c>
      <c r="Z31" s="115">
        <v>0.4593192019702228</v>
      </c>
      <c r="AA31" s="113">
        <f t="shared" si="23"/>
        <v>-3.9993294325436912E-4</v>
      </c>
      <c r="AB31" s="113">
        <f t="shared" si="23"/>
        <v>-7.4428278719353341E-2</v>
      </c>
      <c r="AC31" s="113">
        <f t="shared" si="23"/>
        <v>-0.14840884113302713</v>
      </c>
      <c r="AD31" s="113">
        <f t="shared" si="23"/>
        <v>7.3676350401472496E-2</v>
      </c>
      <c r="AE31" s="113">
        <f t="shared" si="23"/>
        <v>0.14780078010588638</v>
      </c>
      <c r="AF31" s="113">
        <f t="shared" si="23"/>
        <v>0.22197362072804325</v>
      </c>
      <c r="AG31" s="113">
        <f t="shared" si="23"/>
        <v>0.29619519410725326</v>
      </c>
      <c r="AH31" s="113">
        <f t="shared" si="23"/>
        <v>0.37046588123095703</v>
      </c>
      <c r="AI31" s="113">
        <f t="shared" si="23"/>
        <v>0.4447861244799674</v>
      </c>
      <c r="AJ31" s="113">
        <f t="shared" si="23"/>
        <v>0.51915643028371539</v>
      </c>
      <c r="AK31" s="113">
        <f t="shared" si="22"/>
        <v>0.59357737222385509</v>
      </c>
      <c r="AL31" s="113">
        <f t="shared" si="22"/>
        <v>0.66804959463232794</v>
      </c>
      <c r="AM31" s="113">
        <f t="shared" si="22"/>
        <v>0.74257381673900036</v>
      </c>
      <c r="AN31" s="113">
        <f t="shared" si="22"/>
        <v>0.81715083743459904</v>
      </c>
      <c r="AO31" s="113">
        <f t="shared" si="22"/>
        <v>0.89178154072723026</v>
      </c>
      <c r="AP31" s="113">
        <f t="shared" si="22"/>
        <v>0.96646690198577956</v>
      </c>
      <c r="AQ31" s="113">
        <f t="shared" si="22"/>
        <v>1.0412079950815416</v>
      </c>
      <c r="AR31" s="113">
        <f t="shared" si="22"/>
        <v>-0.22234172067141242</v>
      </c>
      <c r="AS31" s="113">
        <f t="shared" si="22"/>
        <v>-0.29622696466343412</v>
      </c>
      <c r="AT31" s="113">
        <f t="shared" si="22"/>
        <v>-0.37006456754305544</v>
      </c>
      <c r="AU31" s="113">
        <f t="shared" si="22"/>
        <v>-0.44385447081834845</v>
      </c>
      <c r="AV31" s="113">
        <f t="shared" si="22"/>
        <v>-0.51759656274598542</v>
      </c>
      <c r="AW31" s="113">
        <f t="shared" si="22"/>
        <v>-0.59129067770690924</v>
      </c>
      <c r="AX31" s="113">
        <f t="shared" si="22"/>
        <v>-0.66493659527501192</v>
      </c>
      <c r="AY31" s="113">
        <f t="shared" si="22"/>
        <v>-0.73853403896651559</v>
      </c>
      <c r="AZ31" s="113">
        <f t="shared" si="22"/>
        <v>-0.81208267465332684</v>
      </c>
      <c r="BA31" s="113">
        <f t="shared" si="24"/>
        <v>-0.88558210861880626</v>
      </c>
      <c r="BB31" s="113">
        <f t="shared" si="24"/>
        <v>-0.95903188522902405</v>
      </c>
      <c r="BC31" s="113">
        <f t="shared" si="24"/>
        <v>-1.0324314841865232</v>
      </c>
      <c r="BD31" s="113">
        <f t="shared" si="24"/>
        <v>-1.1057803173266976</v>
      </c>
      <c r="BE31" s="113">
        <f t="shared" si="24"/>
        <v>-1.1790777249089028</v>
      </c>
      <c r="BF31" s="113">
        <f t="shared" si="24"/>
        <v>-1.2523229713450921</v>
      </c>
      <c r="BG31" s="113">
        <f t="shared" si="24"/>
        <v>-1.325515240297787</v>
      </c>
      <c r="BH31" s="113">
        <f t="shared" si="24"/>
        <v>-1.3986536290661578</v>
      </c>
      <c r="BI31" s="113">
        <f t="shared" si="24"/>
        <v>-1.471737142163386</v>
      </c>
    </row>
    <row r="32" spans="1:61">
      <c r="A32" s="113">
        <f t="shared" si="20"/>
        <v>1.6499999999999981</v>
      </c>
      <c r="B32" s="110">
        <f t="shared" si="4"/>
        <v>0.5791538582837974</v>
      </c>
      <c r="C32" s="159">
        <f t="shared" ref="C32:H53" si="25">$D$3*$S32/(AA32^2/$D$4^2)*2*(1-COS(AA32*$M$6))</f>
        <v>0.88096782558983666</v>
      </c>
      <c r="D32" s="113">
        <f t="shared" si="25"/>
        <v>2.1508787575829131E-4</v>
      </c>
      <c r="E32" s="113">
        <f t="shared" si="25"/>
        <v>5.9110767444445322E-5</v>
      </c>
      <c r="F32" s="113">
        <f t="shared" si="25"/>
        <v>1.4406074546874915E-4</v>
      </c>
      <c r="G32" s="113">
        <f t="shared" si="25"/>
        <v>2.2326815097934446E-5</v>
      </c>
      <c r="H32" s="113">
        <f t="shared" si="25"/>
        <v>4.4776791370656641E-6</v>
      </c>
      <c r="I32" s="113"/>
      <c r="J32" s="113"/>
      <c r="K32" s="113">
        <f t="shared" si="6"/>
        <v>0.89636053279826911</v>
      </c>
      <c r="L32" s="107">
        <f t="shared" si="7"/>
        <v>0.88141288947274321</v>
      </c>
      <c r="M32" s="111">
        <f t="shared" si="8"/>
        <v>0.88206947262090607</v>
      </c>
      <c r="N32" s="113">
        <f t="shared" si="9"/>
        <v>1.4947643325525927E-2</v>
      </c>
      <c r="O32" s="114">
        <f t="shared" si="10"/>
        <v>3.8079910952603595</v>
      </c>
      <c r="P32" s="111">
        <f t="shared" si="11"/>
        <v>3.0841672867007839</v>
      </c>
      <c r="Q32" s="111">
        <v>1.524280000000001</v>
      </c>
      <c r="R32" s="107">
        <f t="shared" si="12"/>
        <v>1.5705402695457793</v>
      </c>
      <c r="S32" s="115">
        <v>0.90058636363636357</v>
      </c>
      <c r="T32" s="107">
        <f t="shared" si="21"/>
        <v>5</v>
      </c>
      <c r="U32" s="111">
        <f t="shared" si="13"/>
        <v>3.2778631480384264</v>
      </c>
      <c r="V32" s="111">
        <f t="shared" si="14"/>
        <v>3.1778631480384263</v>
      </c>
      <c r="W32" s="111">
        <f t="shared" si="15"/>
        <v>3.0841672867007839</v>
      </c>
      <c r="X32" s="111">
        <f t="shared" si="16"/>
        <v>5.9640015640986661</v>
      </c>
      <c r="Y32" s="115">
        <v>1.5680000000000003</v>
      </c>
      <c r="Z32" s="115">
        <v>0.4593192019702228</v>
      </c>
      <c r="AA32" s="113">
        <f t="shared" si="23"/>
        <v>-1.0776977690531708E-3</v>
      </c>
      <c r="AB32" s="113">
        <f t="shared" si="23"/>
        <v>-7.5105385171321412E-2</v>
      </c>
      <c r="AC32" s="113">
        <f t="shared" si="23"/>
        <v>-0.14908485309524339</v>
      </c>
      <c r="AD32" s="113">
        <f t="shared" si="23"/>
        <v>7.2998365404094018E-2</v>
      </c>
      <c r="AE32" s="113">
        <f t="shared" si="23"/>
        <v>0.14712301673304673</v>
      </c>
      <c r="AF32" s="113">
        <f t="shared" si="23"/>
        <v>0.2212965259197715</v>
      </c>
      <c r="AG32" s="113">
        <f t="shared" si="23"/>
        <v>0.29551922155557742</v>
      </c>
      <c r="AH32" s="113">
        <f t="shared" si="23"/>
        <v>0.36979149306275882</v>
      </c>
      <c r="AI32" s="113">
        <f t="shared" si="23"/>
        <v>0.44411379303285975</v>
      </c>
      <c r="AJ32" s="113">
        <f t="shared" si="23"/>
        <v>0.51848663999513667</v>
      </c>
      <c r="AK32" s="113">
        <f t="shared" si="22"/>
        <v>0.59291062165598596</v>
      </c>
      <c r="AL32" s="113">
        <f t="shared" si="22"/>
        <v>0.66738639865840443</v>
      </c>
      <c r="AM32" s="113">
        <f t="shared" si="22"/>
        <v>0.74191470892023226</v>
      </c>
      <c r="AN32" s="113">
        <f t="shared" si="22"/>
        <v>0.81649637262134545</v>
      </c>
      <c r="AO32" s="113">
        <f t="shared" si="22"/>
        <v>0.8911322979235079</v>
      </c>
      <c r="AP32" s="113">
        <f t="shared" si="22"/>
        <v>0.96582348752281522</v>
      </c>
      <c r="AQ32" s="113">
        <f t="shared" si="22"/>
        <v>1.0405710461542139</v>
      </c>
      <c r="AR32" s="113">
        <f t="shared" si="22"/>
        <v>-0.22301620263458258</v>
      </c>
      <c r="AS32" s="113">
        <f t="shared" si="22"/>
        <v>-0.29689948025893392</v>
      </c>
      <c r="AT32" s="113">
        <f t="shared" si="22"/>
        <v>-0.37073467807694976</v>
      </c>
      <c r="AU32" s="113">
        <f t="shared" si="22"/>
        <v>-0.44452173379167897</v>
      </c>
      <c r="AV32" s="113">
        <f t="shared" si="22"/>
        <v>-0.51826053034742992</v>
      </c>
      <c r="AW32" s="113">
        <f t="shared" si="22"/>
        <v>-0.59195089526346978</v>
      </c>
      <c r="AX32" s="113">
        <f t="shared" si="22"/>
        <v>-0.66559259964567508</v>
      </c>
      <c r="AY32" s="113">
        <f t="shared" si="22"/>
        <v>-0.7391853568628215</v>
      </c>
      <c r="AZ32" s="113">
        <f t="shared" si="22"/>
        <v>-0.81272882086945986</v>
      </c>
      <c r="BA32" s="113">
        <f t="shared" si="24"/>
        <v>-0.88622258415213107</v>
      </c>
      <c r="BB32" s="113">
        <f t="shared" si="24"/>
        <v>-0.95966617526989162</v>
      </c>
      <c r="BC32" s="113">
        <f t="shared" si="24"/>
        <v>-1.0330590559535819</v>
      </c>
      <c r="BD32" s="113">
        <f t="shared" si="24"/>
        <v>-1.1064006177207872</v>
      </c>
      <c r="BE32" s="113">
        <f t="shared" si="24"/>
        <v>-1.1796901779547682</v>
      </c>
      <c r="BF32" s="113">
        <f t="shared" si="24"/>
        <v>-1.2529269753854844</v>
      </c>
      <c r="BG32" s="113">
        <f t="shared" si="24"/>
        <v>-1.3261101648988578</v>
      </c>
      <c r="BH32" s="113">
        <f t="shared" si="24"/>
        <v>-1.3992388115861507</v>
      </c>
      <c r="BI32" s="113">
        <f t="shared" si="24"/>
        <v>-1.4723118839282225</v>
      </c>
    </row>
    <row r="33" spans="1:61">
      <c r="A33" s="113">
        <f t="shared" si="20"/>
        <v>1.664999999999998</v>
      </c>
      <c r="B33" s="110">
        <f t="shared" si="4"/>
        <v>0.58441889335910469</v>
      </c>
      <c r="C33" s="159">
        <f t="shared" si="25"/>
        <v>0.87997300914147947</v>
      </c>
      <c r="D33" s="113">
        <f t="shared" si="25"/>
        <v>5.1786408863772762E-4</v>
      </c>
      <c r="E33" s="113">
        <f t="shared" si="25"/>
        <v>1.3937617091233236E-4</v>
      </c>
      <c r="F33" s="113">
        <f t="shared" si="25"/>
        <v>4.3012777580743504E-4</v>
      </c>
      <c r="G33" s="113">
        <f t="shared" si="25"/>
        <v>8.1133424570532578E-5</v>
      </c>
      <c r="H33" s="113">
        <f t="shared" si="25"/>
        <v>2.4493953391232122E-5</v>
      </c>
      <c r="I33" s="113"/>
      <c r="J33" s="113"/>
      <c r="K33" s="113">
        <f t="shared" si="6"/>
        <v>0.89609376844080979</v>
      </c>
      <c r="L33" s="107">
        <f t="shared" si="7"/>
        <v>0.88116600455479865</v>
      </c>
      <c r="M33" s="111">
        <f t="shared" si="8"/>
        <v>0.88208018849958114</v>
      </c>
      <c r="N33" s="113">
        <f t="shared" si="9"/>
        <v>1.4927763886011131E-2</v>
      </c>
      <c r="O33" s="114">
        <f t="shared" si="10"/>
        <v>3.7736848691769329</v>
      </c>
      <c r="P33" s="111">
        <f t="shared" si="11"/>
        <v>3.0842900581499415</v>
      </c>
      <c r="Q33" s="111">
        <v>1.524280000000001</v>
      </c>
      <c r="R33" s="107">
        <f t="shared" si="12"/>
        <v>1.5704778139307471</v>
      </c>
      <c r="S33" s="115">
        <v>0.90058636363636357</v>
      </c>
      <c r="T33" s="107">
        <f t="shared" si="21"/>
        <v>5</v>
      </c>
      <c r="U33" s="111">
        <f t="shared" si="13"/>
        <v>3.2778631480384264</v>
      </c>
      <c r="V33" s="111">
        <f t="shared" si="14"/>
        <v>3.1778631480384263</v>
      </c>
      <c r="W33" s="111">
        <f t="shared" si="15"/>
        <v>3.0842900581499415</v>
      </c>
      <c r="X33" s="111">
        <f t="shared" si="16"/>
        <v>5.974163636798834</v>
      </c>
      <c r="Y33" s="115">
        <v>1.5680000000000003</v>
      </c>
      <c r="Z33" s="115">
        <v>0.4593192019702228</v>
      </c>
      <c r="AA33" s="113">
        <f t="shared" si="23"/>
        <v>-1.743032927407101E-3</v>
      </c>
      <c r="AB33" s="113">
        <f t="shared" si="23"/>
        <v>-7.5770061984821613E-2</v>
      </c>
      <c r="AC33" s="113">
        <f t="shared" si="23"/>
        <v>-0.14974843546999295</v>
      </c>
      <c r="AD33" s="113">
        <f t="shared" si="23"/>
        <v>7.2332810079618823E-2</v>
      </c>
      <c r="AE33" s="113">
        <f t="shared" si="23"/>
        <v>0.14645768304093643</v>
      </c>
      <c r="AF33" s="113">
        <f t="shared" si="23"/>
        <v>0.22063186085679784</v>
      </c>
      <c r="AG33" s="113">
        <f t="shared" si="23"/>
        <v>0.29485567895505943</v>
      </c>
      <c r="AH33" s="113">
        <f t="shared" si="23"/>
        <v>0.36912953530991022</v>
      </c>
      <c r="AI33" s="113">
        <f t="shared" si="23"/>
        <v>0.44345389287618747</v>
      </c>
      <c r="AJ33" s="113">
        <f t="shared" si="23"/>
        <v>0.51782928247489801</v>
      </c>
      <c r="AK33" s="113">
        <f t="shared" si="22"/>
        <v>0.59225630617325065</v>
      </c>
      <c r="AL33" s="113">
        <f t="shared" si="22"/>
        <v>0.66673564121140116</v>
      </c>
      <c r="AM33" s="113">
        <f t="shared" si="22"/>
        <v>0.74126804453850559</v>
      </c>
      <c r="AN33" s="113">
        <f t="shared" si="22"/>
        <v>0.8158543580329497</v>
      </c>
      <c r="AO33" s="113">
        <f t="shared" si="22"/>
        <v>0.89049551449622633</v>
      </c>
      <c r="AP33" s="113">
        <f t="shared" si="22"/>
        <v>0.96519254452744496</v>
      </c>
      <c r="AQ33" s="113">
        <f t="shared" si="22"/>
        <v>1.0399465844066231</v>
      </c>
      <c r="AR33" s="113">
        <f t="shared" si="22"/>
        <v>-0.22367825505500646</v>
      </c>
      <c r="AS33" s="113">
        <f t="shared" si="22"/>
        <v>-0.29755956629506697</v>
      </c>
      <c r="AT33" s="113">
        <f t="shared" si="22"/>
        <v>-0.3713923588912505</v>
      </c>
      <c r="AU33" s="113">
        <f t="shared" si="22"/>
        <v>-0.44517656663115041</v>
      </c>
      <c r="AV33" s="113">
        <f t="shared" si="22"/>
        <v>-0.51891206700661874</v>
      </c>
      <c r="AW33" s="113">
        <f t="shared" si="22"/>
        <v>-0.59259868050343678</v>
      </c>
      <c r="AX33" s="113">
        <f t="shared" si="22"/>
        <v>-0.6662361695532617</v>
      </c>
      <c r="AY33" s="113">
        <f t="shared" si="22"/>
        <v>-0.73982423713346679</v>
      </c>
      <c r="AZ33" s="113">
        <f t="shared" si="22"/>
        <v>-0.81336252499540285</v>
      </c>
      <c r="BA33" s="113">
        <f t="shared" si="24"/>
        <v>-0.88685061149603739</v>
      </c>
      <c r="BB33" s="113">
        <f t="shared" si="24"/>
        <v>-0.96028800900169331</v>
      </c>
      <c r="BC33" s="113">
        <f t="shared" si="24"/>
        <v>-1.0336741608255571</v>
      </c>
      <c r="BD33" s="113">
        <f t="shared" si="24"/>
        <v>-1.1070084376525227</v>
      </c>
      <c r="BE33" s="113">
        <f t="shared" si="24"/>
        <v>-1.1802901333955309</v>
      </c>
      <c r="BF33" s="113">
        <f t="shared" si="24"/>
        <v>-1.2535184604165159</v>
      </c>
      <c r="BG33" s="113">
        <f t="shared" si="24"/>
        <v>-1.3266925440320059</v>
      </c>
      <c r="BH33" s="113">
        <f t="shared" si="24"/>
        <v>-1.399811416207819</v>
      </c>
      <c r="BI33" s="113">
        <f t="shared" si="24"/>
        <v>-1.4728740083285259</v>
      </c>
    </row>
    <row r="34" spans="1:61">
      <c r="A34" s="113">
        <f t="shared" si="20"/>
        <v>1.6799999999999979</v>
      </c>
      <c r="B34" s="110">
        <f t="shared" si="4"/>
        <v>0.58968392843441186</v>
      </c>
      <c r="C34" s="159">
        <f t="shared" si="25"/>
        <v>0.87854126148341349</v>
      </c>
      <c r="D34" s="113">
        <f t="shared" si="25"/>
        <v>9.3304779696902192E-4</v>
      </c>
      <c r="E34" s="113">
        <f t="shared" si="25"/>
        <v>2.4975862602780245E-4</v>
      </c>
      <c r="F34" s="113">
        <f t="shared" si="25"/>
        <v>8.6785753710177504E-4</v>
      </c>
      <c r="G34" s="113">
        <f t="shared" si="25"/>
        <v>1.753741187454773E-4</v>
      </c>
      <c r="H34" s="113">
        <f t="shared" si="25"/>
        <v>5.9961905325274509E-5</v>
      </c>
      <c r="I34" s="113"/>
      <c r="J34" s="113"/>
      <c r="K34" s="113">
        <f t="shared" si="6"/>
        <v>0.89573566357075174</v>
      </c>
      <c r="L34" s="107">
        <f t="shared" si="7"/>
        <v>0.88082726146758283</v>
      </c>
      <c r="M34" s="111">
        <f t="shared" si="8"/>
        <v>0.88209062529855475</v>
      </c>
      <c r="N34" s="113">
        <f t="shared" si="9"/>
        <v>1.4908402103168907E-2</v>
      </c>
      <c r="O34" s="114">
        <f t="shared" si="10"/>
        <v>3.7399912542735678</v>
      </c>
      <c r="P34" s="111">
        <f t="shared" si="11"/>
        <v>3.0844096372917988</v>
      </c>
      <c r="Q34" s="111">
        <v>1.524280000000001</v>
      </c>
      <c r="R34" s="107">
        <f t="shared" si="12"/>
        <v>1.5704169870707165</v>
      </c>
      <c r="S34" s="115">
        <v>0.90058636363636357</v>
      </c>
      <c r="T34" s="107">
        <f t="shared" si="21"/>
        <v>5</v>
      </c>
      <c r="U34" s="111">
        <f t="shared" si="13"/>
        <v>3.2778631480384264</v>
      </c>
      <c r="V34" s="111">
        <f t="shared" si="14"/>
        <v>3.1778631480384263</v>
      </c>
      <c r="W34" s="111">
        <f t="shared" si="15"/>
        <v>3.0844096372917988</v>
      </c>
      <c r="X34" s="111">
        <f t="shared" si="16"/>
        <v>5.984325898116678</v>
      </c>
      <c r="Y34" s="115">
        <v>1.5680000000000003</v>
      </c>
      <c r="Z34" s="115">
        <v>0.4593192019702228</v>
      </c>
      <c r="AA34" s="113">
        <f t="shared" si="23"/>
        <v>-2.3962786737993652E-3</v>
      </c>
      <c r="AB34" s="113">
        <f t="shared" si="23"/>
        <v>-7.6422649415181051E-2</v>
      </c>
      <c r="AC34" s="113">
        <f t="shared" si="23"/>
        <v>-0.15039992851193429</v>
      </c>
      <c r="AD34" s="113">
        <f t="shared" si="23"/>
        <v>7.1679344172553089E-2</v>
      </c>
      <c r="AE34" s="113">
        <f t="shared" si="23"/>
        <v>0.14580443877407268</v>
      </c>
      <c r="AF34" s="113">
        <f t="shared" si="23"/>
        <v>0.21997928528380867</v>
      </c>
      <c r="AG34" s="113">
        <f t="shared" si="23"/>
        <v>0.2942042260511446</v>
      </c>
      <c r="AH34" s="113">
        <f t="shared" si="23"/>
        <v>0.36847966771998253</v>
      </c>
      <c r="AI34" s="113">
        <f t="shared" si="23"/>
        <v>0.44280608376221275</v>
      </c>
      <c r="AJ34" s="113">
        <f t="shared" si="23"/>
        <v>0.51718401748423337</v>
      </c>
      <c r="AK34" s="113">
        <f t="shared" si="22"/>
        <v>0.59161408555250072</v>
      </c>
      <c r="AL34" s="113">
        <f t="shared" si="22"/>
        <v>0.66609698209361856</v>
      </c>
      <c r="AM34" s="113">
        <f t="shared" si="22"/>
        <v>0.74063348343562263</v>
      </c>
      <c r="AN34" s="113">
        <f t="shared" si="22"/>
        <v>0.81522445357031381</v>
      </c>
      <c r="AO34" s="113">
        <f t="shared" si="22"/>
        <v>0.88987085043221426</v>
      </c>
      <c r="AP34" s="113">
        <f t="shared" si="22"/>
        <v>0.96457373310863226</v>
      </c>
      <c r="AQ34" s="113">
        <f t="shared" si="22"/>
        <v>1.0393342701182164</v>
      </c>
      <c r="AR34" s="113">
        <f t="shared" si="22"/>
        <v>-0.22432821818555454</v>
      </c>
      <c r="AS34" s="113">
        <f t="shared" si="22"/>
        <v>-0.29820756302093943</v>
      </c>
      <c r="AT34" s="113">
        <f t="shared" si="22"/>
        <v>-0.37203795022819131</v>
      </c>
      <c r="AU34" s="113">
        <f t="shared" si="22"/>
        <v>-0.44581930956756888</v>
      </c>
      <c r="AV34" s="113">
        <f t="shared" si="22"/>
        <v>-0.51955151293655977</v>
      </c>
      <c r="AW34" s="113">
        <f t="shared" si="22"/>
        <v>-0.59323437361338982</v>
      </c>
      <c r="AX34" s="113">
        <f t="shared" si="22"/>
        <v>-0.66686764514649788</v>
      </c>
      <c r="AY34" s="113">
        <f t="shared" si="22"/>
        <v>-0.74045101987444573</v>
      </c>
      <c r="AZ34" s="113">
        <f t="shared" si="22"/>
        <v>-0.81398412705528345</v>
      </c>
      <c r="BA34" s="113">
        <f t="shared" si="24"/>
        <v>-0.8874665305784023</v>
      </c>
      <c r="BB34" s="113">
        <f t="shared" si="24"/>
        <v>-0.96089772622520109</v>
      </c>
      <c r="BC34" s="113">
        <f t="shared" si="24"/>
        <v>-1.0342771384372811</v>
      </c>
      <c r="BD34" s="113">
        <f t="shared" si="24"/>
        <v>-1.1076041165421162</v>
      </c>
      <c r="BE34" s="113">
        <f t="shared" si="24"/>
        <v>-1.1808779303759445</v>
      </c>
      <c r="BF34" s="113">
        <f t="shared" si="24"/>
        <v>-1.2540977652316136</v>
      </c>
      <c r="BG34" s="113">
        <f t="shared" si="24"/>
        <v>-1.3272627160448671</v>
      </c>
      <c r="BH34" s="113">
        <f t="shared" si="24"/>
        <v>-1.4003717807154952</v>
      </c>
      <c r="BI34" s="113">
        <f t="shared" si="24"/>
        <v>-1.4734238524392025</v>
      </c>
    </row>
    <row r="35" spans="1:61">
      <c r="A35" s="113">
        <f t="shared" si="20"/>
        <v>1.6949999999999978</v>
      </c>
      <c r="B35" s="110">
        <f t="shared" si="4"/>
        <v>0.59494896350971915</v>
      </c>
      <c r="C35" s="159">
        <f t="shared" si="25"/>
        <v>0.8766982706840567</v>
      </c>
      <c r="D35" s="113">
        <f t="shared" si="25"/>
        <v>1.4473188888256391E-3</v>
      </c>
      <c r="E35" s="113">
        <f t="shared" si="25"/>
        <v>3.8747103869412176E-4</v>
      </c>
      <c r="F35" s="113">
        <f t="shared" si="25"/>
        <v>1.4558980089500455E-3</v>
      </c>
      <c r="G35" s="113">
        <f t="shared" si="25"/>
        <v>3.0377884668140889E-4</v>
      </c>
      <c r="H35" s="113">
        <f t="shared" si="25"/>
        <v>1.1020583023137336E-4</v>
      </c>
      <c r="I35" s="113"/>
      <c r="J35" s="113"/>
      <c r="K35" s="113">
        <f t="shared" si="6"/>
        <v>0.8952924835713697</v>
      </c>
      <c r="L35" s="107">
        <f t="shared" si="7"/>
        <v>0.88040294329743929</v>
      </c>
      <c r="M35" s="111">
        <f t="shared" si="8"/>
        <v>0.88210079256365215</v>
      </c>
      <c r="N35" s="113">
        <f t="shared" si="9"/>
        <v>1.4889540273930461E-2</v>
      </c>
      <c r="O35" s="114">
        <f t="shared" si="10"/>
        <v>3.7068939865366337</v>
      </c>
      <c r="P35" s="111">
        <f t="shared" si="11"/>
        <v>3.0845261331006193</v>
      </c>
      <c r="Q35" s="111">
        <v>1.524280000000001</v>
      </c>
      <c r="R35" s="107">
        <f t="shared" si="12"/>
        <v>1.5703577331611285</v>
      </c>
      <c r="S35" s="115">
        <v>0.90058636363636357</v>
      </c>
      <c r="T35" s="107">
        <f t="shared" si="21"/>
        <v>5</v>
      </c>
      <c r="U35" s="111">
        <f t="shared" si="13"/>
        <v>3.2778631480384264</v>
      </c>
      <c r="V35" s="111">
        <f t="shared" si="14"/>
        <v>3.1778631480384263</v>
      </c>
      <c r="W35" s="111">
        <f t="shared" si="15"/>
        <v>3.0845261331006193</v>
      </c>
      <c r="X35" s="111">
        <f t="shared" si="16"/>
        <v>5.9944883483824123</v>
      </c>
      <c r="Y35" s="115">
        <v>1.5680000000000003</v>
      </c>
      <c r="Z35" s="115">
        <v>0.4593192019702228</v>
      </c>
      <c r="AA35" s="113">
        <f t="shared" si="23"/>
        <v>-3.0377629107907755E-3</v>
      </c>
      <c r="AB35" s="113">
        <f t="shared" si="23"/>
        <v>-7.7063475364804332E-2</v>
      </c>
      <c r="AC35" s="113">
        <f t="shared" si="23"/>
        <v>-0.15103966012280345</v>
      </c>
      <c r="AD35" s="113">
        <f t="shared" si="23"/>
        <v>7.1037639780325498E-2</v>
      </c>
      <c r="AE35" s="113">
        <f t="shared" si="23"/>
        <v>0.1451629560298951</v>
      </c>
      <c r="AF35" s="113">
        <f t="shared" si="23"/>
        <v>0.21933847129841294</v>
      </c>
      <c r="AG35" s="113">
        <f t="shared" si="23"/>
        <v>0.29356453494220147</v>
      </c>
      <c r="AH35" s="113">
        <f t="shared" si="23"/>
        <v>0.36784156239347338</v>
      </c>
      <c r="AI35" s="113">
        <f t="shared" si="23"/>
        <v>0.4421700377961334</v>
      </c>
      <c r="AJ35" s="113">
        <f t="shared" si="23"/>
        <v>0.51655051713733635</v>
      </c>
      <c r="AK35" s="113">
        <f t="shared" si="22"/>
        <v>0.59098363192360226</v>
      </c>
      <c r="AL35" s="113">
        <f t="shared" si="22"/>
        <v>0.66547009346048103</v>
      </c>
      <c r="AM35" s="113">
        <f t="shared" si="22"/>
        <v>0.74001069780671813</v>
      </c>
      <c r="AN35" s="113">
        <f t="shared" si="22"/>
        <v>0.81460633148804384</v>
      </c>
      <c r="AO35" s="113">
        <f t="shared" si="22"/>
        <v>0.88925797807263862</v>
      </c>
      <c r="AP35" s="113">
        <f t="shared" si="22"/>
        <v>0.96396672573072584</v>
      </c>
      <c r="AQ35" s="113">
        <f t="shared" si="22"/>
        <v>1.0387337759255031</v>
      </c>
      <c r="AR35" s="113">
        <f t="shared" si="22"/>
        <v>-0.22496641992617528</v>
      </c>
      <c r="AS35" s="113">
        <f t="shared" si="22"/>
        <v>-0.29884379833273544</v>
      </c>
      <c r="AT35" s="113">
        <f t="shared" si="22"/>
        <v>-0.37267177997708106</v>
      </c>
      <c r="AU35" s="113">
        <f t="shared" si="22"/>
        <v>-0.44645029047880719</v>
      </c>
      <c r="AV35" s="113">
        <f t="shared" si="22"/>
        <v>-0.52017919599730511</v>
      </c>
      <c r="AW35" s="113">
        <f t="shared" si="22"/>
        <v>-0.59385830242690418</v>
      </c>
      <c r="AX35" s="113">
        <f t="shared" si="22"/>
        <v>-0.66748735422100869</v>
      </c>
      <c r="AY35" s="113">
        <f t="shared" si="22"/>
        <v>-0.74106603282847694</v>
      </c>
      <c r="AZ35" s="113">
        <f t="shared" si="22"/>
        <v>-0.81459395471965257</v>
      </c>
      <c r="BA35" s="113">
        <f t="shared" si="24"/>
        <v>-0.88807066897303089</v>
      </c>
      <c r="BB35" s="113">
        <f t="shared" si="24"/>
        <v>-0.96149565438632989</v>
      </c>
      <c r="BC35" s="113">
        <f t="shared" si="24"/>
        <v>-1.0348683160675194</v>
      </c>
      <c r="BD35" s="113">
        <f t="shared" si="24"/>
        <v>-1.1081879814518918</v>
      </c>
      <c r="BE35" s="113">
        <f t="shared" si="24"/>
        <v>-1.1814538956801859</v>
      </c>
      <c r="BF35" s="113">
        <f t="shared" si="24"/>
        <v>-1.2546652162597274</v>
      </c>
      <c r="BG35" s="113">
        <f t="shared" si="24"/>
        <v>-1.3278210069150163</v>
      </c>
      <c r="BH35" s="113">
        <f t="shared" si="24"/>
        <v>-1.4009202305155495</v>
      </c>
      <c r="BI35" s="113">
        <f t="shared" si="24"/>
        <v>-1.4739617409461199</v>
      </c>
    </row>
    <row r="36" spans="1:61">
      <c r="A36" s="113">
        <f t="shared" si="20"/>
        <v>1.7099999999999977</v>
      </c>
      <c r="B36" s="110">
        <f t="shared" si="4"/>
        <v>0.60021399858502633</v>
      </c>
      <c r="C36" s="159">
        <f t="shared" si="25"/>
        <v>0.87446875782451816</v>
      </c>
      <c r="D36" s="113">
        <f t="shared" si="25"/>
        <v>2.048463071841331E-3</v>
      </c>
      <c r="E36" s="113">
        <f t="shared" si="25"/>
        <v>5.4987642648262139E-4</v>
      </c>
      <c r="F36" s="113">
        <f t="shared" si="25"/>
        <v>2.1925255906251107E-3</v>
      </c>
      <c r="G36" s="113">
        <f t="shared" si="25"/>
        <v>4.6502559384935873E-4</v>
      </c>
      <c r="H36" s="113">
        <f t="shared" si="25"/>
        <v>1.7453618538631211E-4</v>
      </c>
      <c r="I36" s="113"/>
      <c r="J36" s="113"/>
      <c r="K36" s="113">
        <f t="shared" si="6"/>
        <v>0.89477034613312789</v>
      </c>
      <c r="L36" s="107">
        <f t="shared" si="7"/>
        <v>0.8798991846927029</v>
      </c>
      <c r="M36" s="111">
        <f t="shared" si="8"/>
        <v>0.88211069943878639</v>
      </c>
      <c r="N36" s="113">
        <f t="shared" si="9"/>
        <v>1.4871161440425032E-2</v>
      </c>
      <c r="O36" s="114">
        <f t="shared" si="10"/>
        <v>3.674377372619646</v>
      </c>
      <c r="P36" s="111">
        <f t="shared" si="11"/>
        <v>3.0846396499735018</v>
      </c>
      <c r="Q36" s="111">
        <v>1.524280000000001</v>
      </c>
      <c r="R36" s="107">
        <f t="shared" si="12"/>
        <v>1.5702999987517485</v>
      </c>
      <c r="S36" s="115">
        <v>0.90058636363636357</v>
      </c>
      <c r="T36" s="107">
        <f t="shared" si="21"/>
        <v>5</v>
      </c>
      <c r="U36" s="111">
        <f t="shared" si="13"/>
        <v>3.2778631480384264</v>
      </c>
      <c r="V36" s="111">
        <f t="shared" si="14"/>
        <v>3.1778631480384263</v>
      </c>
      <c r="W36" s="111">
        <f t="shared" si="15"/>
        <v>3.0846396499735018</v>
      </c>
      <c r="X36" s="111">
        <f t="shared" si="16"/>
        <v>6.0046509879262988</v>
      </c>
      <c r="Y36" s="115">
        <v>1.5680000000000003</v>
      </c>
      <c r="Z36" s="115">
        <v>0.4593192019702228</v>
      </c>
      <c r="AA36" s="113">
        <f t="shared" si="23"/>
        <v>-3.6678017451771683E-3</v>
      </c>
      <c r="AB36" s="113">
        <f t="shared" si="23"/>
        <v>-7.769285594033129E-2</v>
      </c>
      <c r="AC36" s="113">
        <f t="shared" si="23"/>
        <v>-0.15166794640857187</v>
      </c>
      <c r="AD36" s="113">
        <f t="shared" si="23"/>
        <v>7.0407380796129598E-2</v>
      </c>
      <c r="AE36" s="113">
        <f t="shared" si="23"/>
        <v>0.14453291870160823</v>
      </c>
      <c r="AF36" s="113">
        <f t="shared" si="23"/>
        <v>0.21870910279398476</v>
      </c>
      <c r="AG36" s="113">
        <f t="shared" si="23"/>
        <v>0.29293628952236417</v>
      </c>
      <c r="AH36" s="113">
        <f t="shared" si="23"/>
        <v>0.36721490322664901</v>
      </c>
      <c r="AI36" s="113">
        <f t="shared" si="23"/>
        <v>0.44154543887892539</v>
      </c>
      <c r="AJ36" s="113">
        <f t="shared" si="23"/>
        <v>0.51592846534420334</v>
      </c>
      <c r="AK36" s="113">
        <f t="shared" si="22"/>
        <v>0.59036462921227817</v>
      </c>
      <c r="AL36" s="113">
        <f t="shared" si="22"/>
        <v>0.66485465926338161</v>
      </c>
      <c r="AM36" s="113">
        <f t="shared" si="22"/>
        <v>0.73939937164310554</v>
      </c>
      <c r="AN36" s="113">
        <f t="shared" si="22"/>
        <v>0.81399967583730037</v>
      </c>
      <c r="AO36" s="113">
        <f t="shared" si="22"/>
        <v>0.88865658155586391</v>
      </c>
      <c r="AP36" s="113">
        <f t="shared" si="22"/>
        <v>0.96337120665633402</v>
      </c>
      <c r="AQ36" s="113">
        <f t="shared" si="22"/>
        <v>1.0381447862649569</v>
      </c>
      <c r="AR36" s="113">
        <f t="shared" si="22"/>
        <v>-0.22559317638105253</v>
      </c>
      <c r="AS36" s="113">
        <f t="shared" si="22"/>
        <v>-0.29946858833087414</v>
      </c>
      <c r="AT36" s="113">
        <f t="shared" si="22"/>
        <v>-0.3732941642314615</v>
      </c>
      <c r="AU36" s="113">
        <f t="shared" si="22"/>
        <v>-0.44706982544696205</v>
      </c>
      <c r="AV36" s="113">
        <f t="shared" si="22"/>
        <v>-0.52079543225310787</v>
      </c>
      <c r="AW36" s="113">
        <f t="shared" si="22"/>
        <v>-0.59447078298170608</v>
      </c>
      <c r="AX36" s="113">
        <f t="shared" si="22"/>
        <v>-0.66809561277647278</v>
      </c>
      <c r="AY36" s="113">
        <f t="shared" si="22"/>
        <v>-0.74166959194215432</v>
      </c>
      <c r="AZ36" s="113">
        <f t="shared" si="22"/>
        <v>-0.81519232386262963</v>
      </c>
      <c r="BA36" s="113">
        <f t="shared" si="24"/>
        <v>-0.88866334245679368</v>
      </c>
      <c r="BB36" s="113">
        <f t="shared" si="24"/>
        <v>-0.96208210913325976</v>
      </c>
      <c r="BC36" s="113">
        <f t="shared" si="24"/>
        <v>-1.0354480091960692</v>
      </c>
      <c r="BD36" s="113">
        <f t="shared" si="24"/>
        <v>-1.1087603476433479</v>
      </c>
      <c r="BE36" s="113">
        <f t="shared" si="24"/>
        <v>-1.1820183442888637</v>
      </c>
      <c r="BF36" s="113">
        <f t="shared" si="24"/>
        <v>-1.2552211281222525</v>
      </c>
      <c r="BG36" s="113">
        <f t="shared" si="24"/>
        <v>-1.3283677308067605</v>
      </c>
      <c r="BH36" s="113">
        <f t="shared" si="24"/>
        <v>-1.4014570791929886</v>
      </c>
      <c r="BI36" s="113">
        <f t="shared" si="24"/>
        <v>-1.4744879867024179</v>
      </c>
    </row>
    <row r="37" spans="1:61">
      <c r="A37" s="113">
        <f t="shared" si="20"/>
        <v>1.7249999999999976</v>
      </c>
      <c r="B37" s="110">
        <f t="shared" si="4"/>
        <v>0.60547903366033351</v>
      </c>
      <c r="C37" s="159">
        <f t="shared" si="25"/>
        <v>0.87187647810194258</v>
      </c>
      <c r="D37" s="113">
        <f t="shared" si="25"/>
        <v>2.7252943594083747E-3</v>
      </c>
      <c r="E37" s="113">
        <f t="shared" si="25"/>
        <v>7.3448618935302384E-4</v>
      </c>
      <c r="F37" s="113">
        <f t="shared" si="25"/>
        <v>3.0756848626868442E-3</v>
      </c>
      <c r="G37" s="113">
        <f t="shared" si="25"/>
        <v>6.5775257459173883E-4</v>
      </c>
      <c r="H37" s="113">
        <f t="shared" si="25"/>
        <v>2.5225494078731284E-4</v>
      </c>
      <c r="I37" s="113"/>
      <c r="J37" s="113"/>
      <c r="K37" s="113">
        <f t="shared" si="6"/>
        <v>0.89417520038169884</v>
      </c>
      <c r="L37" s="107">
        <f t="shared" si="7"/>
        <v>0.87932195102876987</v>
      </c>
      <c r="M37" s="111">
        <f t="shared" si="8"/>
        <v>0.88212035468594585</v>
      </c>
      <c r="N37" s="113">
        <f t="shared" si="9"/>
        <v>1.4853249352928942E-2</v>
      </c>
      <c r="O37" s="114">
        <f t="shared" si="10"/>
        <v>3.642426265031649</v>
      </c>
      <c r="P37" s="111">
        <f t="shared" si="11"/>
        <v>3.0847502879573709</v>
      </c>
      <c r="Q37" s="111">
        <v>1.524280000000001</v>
      </c>
      <c r="R37" s="107">
        <f t="shared" si="12"/>
        <v>1.5702437326293004</v>
      </c>
      <c r="S37" s="115">
        <v>0.90058636363636357</v>
      </c>
      <c r="T37" s="107">
        <f t="shared" si="21"/>
        <v>5</v>
      </c>
      <c r="U37" s="111">
        <f t="shared" si="13"/>
        <v>3.2778631480384264</v>
      </c>
      <c r="V37" s="111">
        <f t="shared" si="14"/>
        <v>3.1778631480384263</v>
      </c>
      <c r="W37" s="111">
        <f t="shared" si="15"/>
        <v>3.0847502879573709</v>
      </c>
      <c r="X37" s="111">
        <f t="shared" si="16"/>
        <v>6.0148138170786511</v>
      </c>
      <c r="Y37" s="115">
        <v>1.5680000000000003</v>
      </c>
      <c r="Z37" s="115">
        <v>0.4593192019702228</v>
      </c>
      <c r="AA37" s="113">
        <f t="shared" si="23"/>
        <v>-4.2867000152000956E-3</v>
      </c>
      <c r="AB37" s="113">
        <f t="shared" si="23"/>
        <v>-7.8311095979847395E-2</v>
      </c>
      <c r="AC37" s="113">
        <f t="shared" si="23"/>
        <v>-0.15228509220665673</v>
      </c>
      <c r="AD37" s="113">
        <f t="shared" si="23"/>
        <v>6.9788262381713317E-2</v>
      </c>
      <c r="AE37" s="113">
        <f t="shared" si="23"/>
        <v>0.14391402195097103</v>
      </c>
      <c r="AF37" s="113">
        <f t="shared" si="23"/>
        <v>0.21809087493245244</v>
      </c>
      <c r="AG37" s="113">
        <f t="shared" si="23"/>
        <v>0.29231918495432196</v>
      </c>
      <c r="AH37" s="113">
        <f t="shared" si="23"/>
        <v>0.3665993853843339</v>
      </c>
      <c r="AI37" s="113">
        <f t="shared" si="23"/>
        <v>0.44093198218013252</v>
      </c>
      <c r="AJ37" s="113">
        <f t="shared" si="23"/>
        <v>0.51531755728342288</v>
      </c>
      <c r="AK37" s="113">
        <f t="shared" si="22"/>
        <v>0.58975677261289916</v>
      </c>
      <c r="AL37" s="113">
        <f t="shared" si="22"/>
        <v>0.66425037472247295</v>
      </c>
      <c r="AM37" s="113">
        <f t="shared" si="22"/>
        <v>0.73879920020507017</v>
      </c>
      <c r="AN37" s="113">
        <f t="shared" si="22"/>
        <v>0.8134041819385962</v>
      </c>
      <c r="AO37" s="113">
        <f t="shared" si="22"/>
        <v>0.88806635629025887</v>
      </c>
      <c r="AP37" s="113">
        <f t="shared" si="22"/>
        <v>0.96278687141914643</v>
      </c>
      <c r="AQ37" s="113">
        <f t="shared" si="22"/>
        <v>1.037566996845863</v>
      </c>
      <c r="AR37" s="113">
        <f t="shared" si="22"/>
        <v>-0.22620879238581645</v>
      </c>
      <c r="AS37" s="113">
        <f t="shared" si="22"/>
        <v>-0.30008223784722066</v>
      </c>
      <c r="AT37" s="113">
        <f t="shared" si="22"/>
        <v>-0.37390540781631731</v>
      </c>
      <c r="AU37" s="113">
        <f t="shared" si="22"/>
        <v>-0.44767821928556406</v>
      </c>
      <c r="AV37" s="113">
        <f t="shared" si="22"/>
        <v>-0.52140052649963209</v>
      </c>
      <c r="AW37" s="113">
        <f t="shared" si="22"/>
        <v>-0.59507212004688192</v>
      </c>
      <c r="AX37" s="113">
        <f t="shared" si="22"/>
        <v>-0.66869272554382908</v>
      </c>
      <c r="AY37" s="113">
        <f t="shared" si="22"/>
        <v>-0.7422620018931505</v>
      </c>
      <c r="AZ37" s="113">
        <f t="shared" si="22"/>
        <v>-0.81577953908910161</v>
      </c>
      <c r="BA37" s="113">
        <f t="shared" si="24"/>
        <v>-0.88924485553681476</v>
      </c>
      <c r="BB37" s="113">
        <f t="shared" si="24"/>
        <v>-0.96265739484361068</v>
      </c>
      <c r="BC37" s="113">
        <f t="shared" si="24"/>
        <v>-1.0360165220309103</v>
      </c>
      <c r="BD37" s="113">
        <f t="shared" si="24"/>
        <v>-1.1093215191042707</v>
      </c>
      <c r="BE37" s="113">
        <f t="shared" si="24"/>
        <v>-1.1825715799060741</v>
      </c>
      <c r="BF37" s="113">
        <f t="shared" si="24"/>
        <v>-1.2557658041599993</v>
      </c>
      <c r="BG37" s="113">
        <f t="shared" si="24"/>
        <v>-1.328903190597978</v>
      </c>
      <c r="BH37" s="113">
        <f t="shared" si="24"/>
        <v>-1.4019826290380959</v>
      </c>
      <c r="BI37" s="113">
        <f t="shared" si="24"/>
        <v>-1.475002891254853</v>
      </c>
    </row>
    <row r="38" spans="1:61">
      <c r="A38" s="113">
        <f t="shared" si="20"/>
        <v>1.7399999999999975</v>
      </c>
      <c r="B38" s="110">
        <f t="shared" si="4"/>
        <v>0.6107440687356408</v>
      </c>
      <c r="C38" s="159">
        <f t="shared" si="25"/>
        <v>0.86894422708325258</v>
      </c>
      <c r="D38" s="113">
        <f t="shared" si="25"/>
        <v>3.4675818450122043E-3</v>
      </c>
      <c r="E38" s="113">
        <f t="shared" si="25"/>
        <v>9.3895740181779207E-4</v>
      </c>
      <c r="F38" s="113">
        <f t="shared" si="25"/>
        <v>4.1030258567964434E-3</v>
      </c>
      <c r="G38" s="113">
        <f t="shared" si="25"/>
        <v>8.8056922628001425E-4</v>
      </c>
      <c r="H38" s="113">
        <f t="shared" si="25"/>
        <v>3.4266032078955947E-4</v>
      </c>
      <c r="I38" s="113"/>
      <c r="J38" s="113"/>
      <c r="K38" s="113">
        <f t="shared" si="6"/>
        <v>0.89351281016887807</v>
      </c>
      <c r="L38" s="107">
        <f t="shared" si="7"/>
        <v>0.87867702173394857</v>
      </c>
      <c r="M38" s="111">
        <f t="shared" si="8"/>
        <v>0.88212976670404164</v>
      </c>
      <c r="N38" s="113">
        <f t="shared" si="9"/>
        <v>1.4835788434929491E-2</v>
      </c>
      <c r="O38" s="114">
        <f t="shared" si="10"/>
        <v>3.6110260386089625</v>
      </c>
      <c r="P38" s="111">
        <f t="shared" si="11"/>
        <v>3.0848581429630451</v>
      </c>
      <c r="Q38" s="111">
        <v>1.524280000000001</v>
      </c>
      <c r="R38" s="107">
        <f t="shared" si="12"/>
        <v>1.5701888857068194</v>
      </c>
      <c r="S38" s="115">
        <v>0.90058636363636357</v>
      </c>
      <c r="T38" s="107">
        <f t="shared" si="21"/>
        <v>5</v>
      </c>
      <c r="U38" s="111">
        <f t="shared" si="13"/>
        <v>3.2778631480384264</v>
      </c>
      <c r="V38" s="111">
        <f t="shared" si="14"/>
        <v>3.1778631480384263</v>
      </c>
      <c r="W38" s="111">
        <f t="shared" si="15"/>
        <v>3.0848581429630451</v>
      </c>
      <c r="X38" s="111">
        <f t="shared" si="16"/>
        <v>6.0249768361698477</v>
      </c>
      <c r="Y38" s="115">
        <v>1.5680000000000003</v>
      </c>
      <c r="Z38" s="115">
        <v>0.4593192019702228</v>
      </c>
      <c r="AA38" s="113">
        <f t="shared" si="23"/>
        <v>-4.8947517896737597E-3</v>
      </c>
      <c r="AB38" s="113">
        <f t="shared" si="23"/>
        <v>-7.891848955201082E-2</v>
      </c>
      <c r="AC38" s="113">
        <f t="shared" si="23"/>
        <v>-0.15289139158504814</v>
      </c>
      <c r="AD38" s="113">
        <f t="shared" si="23"/>
        <v>6.9179990468251878E-2</v>
      </c>
      <c r="AE38" s="113">
        <f t="shared" si="23"/>
        <v>0.1433059717091697</v>
      </c>
      <c r="AF38" s="113">
        <f t="shared" si="23"/>
        <v>0.21748349364517194</v>
      </c>
      <c r="AG38" s="113">
        <f t="shared" si="23"/>
        <v>0.29171292717019237</v>
      </c>
      <c r="AH38" s="113">
        <f t="shared" si="23"/>
        <v>0.36599471480078366</v>
      </c>
      <c r="AI38" s="113">
        <f t="shared" si="23"/>
        <v>0.44032937363873931</v>
      </c>
      <c r="AJ38" s="113">
        <f t="shared" si="23"/>
        <v>0.51471749890304919</v>
      </c>
      <c r="AK38" s="113">
        <f t="shared" si="22"/>
        <v>0.58915976808935688</v>
      </c>
      <c r="AL38" s="113">
        <f t="shared" si="22"/>
        <v>0.6636569458275422</v>
      </c>
      <c r="AM38" s="113">
        <f t="shared" si="22"/>
        <v>0.73820988952274691</v>
      </c>
      <c r="AN38" s="113">
        <f t="shared" si="22"/>
        <v>0.81281955588267851</v>
      </c>
      <c r="AO38" s="113">
        <f t="shared" si="22"/>
        <v>0.88748700845508643</v>
      </c>
      <c r="AP38" s="113">
        <f t="shared" si="22"/>
        <v>0.96221342632483997</v>
      </c>
      <c r="AQ38" s="113">
        <f t="shared" si="22"/>
        <v>1.0370001141512533</v>
      </c>
      <c r="AR38" s="113">
        <f t="shared" si="22"/>
        <v>-0.22681356200666997</v>
      </c>
      <c r="AS38" s="113">
        <f t="shared" si="22"/>
        <v>-0.30068504094421261</v>
      </c>
      <c r="AT38" s="113">
        <f t="shared" si="22"/>
        <v>-0.37450580478720319</v>
      </c>
      <c r="AU38" s="113">
        <f t="shared" si="22"/>
        <v>-0.44827576603870445</v>
      </c>
      <c r="AV38" s="113">
        <f t="shared" si="22"/>
        <v>-0.52199477276307815</v>
      </c>
      <c r="AW38" s="113">
        <f t="shared" si="22"/>
        <v>-0.59566260762200307</v>
      </c>
      <c r="AX38" s="113">
        <f t="shared" si="22"/>
        <v>-0.66927898648440021</v>
      </c>
      <c r="AY38" s="113">
        <f t="shared" si="22"/>
        <v>-0.74284355658933743</v>
      </c>
      <c r="AZ38" s="113">
        <f t="shared" si="22"/>
        <v>-0.8163558942338367</v>
      </c>
      <c r="BA38" s="113">
        <f t="shared" si="24"/>
        <v>-0.88981550194957837</v>
      </c>
      <c r="BB38" s="113">
        <f t="shared" si="24"/>
        <v>-0.96322180512353262</v>
      </c>
      <c r="BC38" s="113">
        <f t="shared" si="24"/>
        <v>-1.0365741480072728</v>
      </c>
      <c r="BD38" s="113">
        <f t="shared" si="24"/>
        <v>-1.1098717890477656</v>
      </c>
      <c r="BE38" s="113">
        <f t="shared" si="24"/>
        <v>-1.1831138954583733</v>
      </c>
      <c r="BF38" s="113">
        <f t="shared" si="24"/>
        <v>-1.2562995369320762</v>
      </c>
      <c r="BG38" s="113">
        <f t="shared" si="24"/>
        <v>-1.3294276783788643</v>
      </c>
      <c r="BH38" s="113">
        <f t="shared" si="24"/>
        <v>-1.4024971715449754</v>
      </c>
      <c r="BI38" s="113">
        <f t="shared" si="24"/>
        <v>-1.4755067453420383</v>
      </c>
    </row>
    <row r="39" spans="1:61">
      <c r="A39" s="113">
        <f t="shared" si="20"/>
        <v>1.7549999999999975</v>
      </c>
      <c r="B39" s="110">
        <f t="shared" si="4"/>
        <v>0.61600910381094809</v>
      </c>
      <c r="C39" s="159">
        <f t="shared" si="25"/>
        <v>0.86569385132739718</v>
      </c>
      <c r="D39" s="113">
        <f t="shared" si="25"/>
        <v>4.2659806907140493E-3</v>
      </c>
      <c r="E39" s="113">
        <f t="shared" si="25"/>
        <v>1.1610893199685418E-3</v>
      </c>
      <c r="F39" s="113">
        <f t="shared" si="25"/>
        <v>5.2719388823040106E-3</v>
      </c>
      <c r="G39" s="113">
        <f t="shared" si="25"/>
        <v>1.1320660801937864E-3</v>
      </c>
      <c r="H39" s="113">
        <f t="shared" si="25"/>
        <v>4.4505098288581923E-4</v>
      </c>
      <c r="I39" s="113"/>
      <c r="J39" s="113"/>
      <c r="K39" s="113">
        <f t="shared" si="6"/>
        <v>0.8927887410336306</v>
      </c>
      <c r="L39" s="107">
        <f t="shared" si="7"/>
        <v>0.87796997728346338</v>
      </c>
      <c r="M39" s="111">
        <f t="shared" si="8"/>
        <v>0.88213894354668654</v>
      </c>
      <c r="N39" s="113">
        <f t="shared" si="9"/>
        <v>1.4818763750167177E-2</v>
      </c>
      <c r="O39" s="114">
        <f t="shared" si="10"/>
        <v>3.5801625681935016</v>
      </c>
      <c r="P39" s="111">
        <f t="shared" si="11"/>
        <v>3.0849633069672144</v>
      </c>
      <c r="Q39" s="111">
        <v>1.524280000000001</v>
      </c>
      <c r="R39" s="107">
        <f t="shared" si="12"/>
        <v>1.5701354109192904</v>
      </c>
      <c r="S39" s="115">
        <v>0.90058636363636357</v>
      </c>
      <c r="T39" s="107">
        <f t="shared" si="21"/>
        <v>5</v>
      </c>
      <c r="U39" s="111">
        <f t="shared" si="13"/>
        <v>3.2778631480384264</v>
      </c>
      <c r="V39" s="111">
        <f t="shared" si="14"/>
        <v>3.1778631480384263</v>
      </c>
      <c r="W39" s="111">
        <f t="shared" si="15"/>
        <v>3.0849633069672144</v>
      </c>
      <c r="X39" s="111">
        <f t="shared" si="16"/>
        <v>6.0351400455303077</v>
      </c>
      <c r="Y39" s="115">
        <v>1.5680000000000003</v>
      </c>
      <c r="Z39" s="115">
        <v>0.4593192019702228</v>
      </c>
      <c r="AA39" s="113">
        <f t="shared" si="23"/>
        <v>-5.4922408407597628E-3</v>
      </c>
      <c r="AB39" s="113">
        <f t="shared" si="23"/>
        <v>-7.9515320428827252E-2</v>
      </c>
      <c r="AC39" s="113">
        <f t="shared" si="23"/>
        <v>-0.15348712831508382</v>
      </c>
      <c r="AD39" s="113">
        <f t="shared" si="23"/>
        <v>6.8582281283573077E-2</v>
      </c>
      <c r="AE39" s="113">
        <f t="shared" si="23"/>
        <v>0.14270848420404303</v>
      </c>
      <c r="AF39" s="113">
        <f t="shared" si="23"/>
        <v>0.21688667516015167</v>
      </c>
      <c r="AG39" s="113">
        <f t="shared" si="23"/>
        <v>0.2911172323987461</v>
      </c>
      <c r="AH39" s="113">
        <f t="shared" si="23"/>
        <v>0.36540060770691035</v>
      </c>
      <c r="AI39" s="113">
        <f t="shared" si="23"/>
        <v>0.43973732949039646</v>
      </c>
      <c r="AJ39" s="113">
        <f t="shared" si="23"/>
        <v>0.51412800644782741</v>
      </c>
      <c r="AK39" s="113">
        <f t="shared" si="23"/>
        <v>0.58857333190229</v>
      </c>
      <c r="AL39" s="113">
        <f t="shared" si="23"/>
        <v>0.66307408886523778</v>
      </c>
      <c r="AM39" s="113">
        <f t="shared" si="23"/>
        <v>0.7376311559233486</v>
      </c>
      <c r="AN39" s="113">
        <f t="shared" si="23"/>
        <v>0.81224551405776213</v>
      </c>
      <c r="AO39" s="113">
        <f t="shared" si="23"/>
        <v>0.88691825452774575</v>
      </c>
      <c r="AP39" s="113">
        <f t="shared" si="23"/>
        <v>0.96165058797833647</v>
      </c>
      <c r="AQ39" s="113">
        <f t="shared" si="22"/>
        <v>1.0364438549651909</v>
      </c>
      <c r="AR39" s="113">
        <f t="shared" si="22"/>
        <v>-0.22740776901316406</v>
      </c>
      <c r="AS39" s="113">
        <f t="shared" si="22"/>
        <v>-0.30127728138763527</v>
      </c>
      <c r="AT39" s="113">
        <f t="shared" si="22"/>
        <v>-0.37509563890301834</v>
      </c>
      <c r="AU39" s="113">
        <f t="shared" si="22"/>
        <v>-0.44886274945380955</v>
      </c>
      <c r="AV39" s="113">
        <f t="shared" si="22"/>
        <v>-0.52257845477295783</v>
      </c>
      <c r="AW39" s="113">
        <f t="shared" si="22"/>
        <v>-0.59624252940989897</v>
      </c>
      <c r="AX39" s="113">
        <f t="shared" si="22"/>
        <v>-0.66985467926266329</v>
      </c>
      <c r="AY39" s="113">
        <f t="shared" si="22"/>
        <v>-0.7434145396415538</v>
      </c>
      <c r="AZ39" s="113">
        <f t="shared" si="22"/>
        <v>-0.81692167283424777</v>
      </c>
      <c r="BA39" s="113">
        <f t="shared" si="24"/>
        <v>-0.89037556513368121</v>
      </c>
      <c r="BB39" s="113">
        <f t="shared" si="24"/>
        <v>-0.96377562328044419</v>
      </c>
      <c r="BC39" s="113">
        <f t="shared" si="24"/>
        <v>-1.03712117026035</v>
      </c>
      <c r="BD39" s="113">
        <f t="shared" si="24"/>
        <v>-1.1104114403849312</v>
      </c>
      <c r="BE39" s="113">
        <f t="shared" si="24"/>
        <v>-1.1836455735673947</v>
      </c>
      <c r="BF39" s="113">
        <f t="shared" si="24"/>
        <v>-1.2568226086884153</v>
      </c>
      <c r="BG39" s="113">
        <f t="shared" si="24"/>
        <v>-1.3299414759243211</v>
      </c>
      <c r="BH39" s="113">
        <f t="shared" si="24"/>
        <v>-1.4030009878837313</v>
      </c>
      <c r="BI39" s="113">
        <f t="shared" si="24"/>
        <v>-1.4759998293663088</v>
      </c>
    </row>
    <row r="40" spans="1:61">
      <c r="A40" s="113">
        <f t="shared" si="20"/>
        <v>1.7699999999999974</v>
      </c>
      <c r="B40" s="110">
        <f t="shared" si="4"/>
        <v>0.62127413888625516</v>
      </c>
      <c r="C40" s="159">
        <f t="shared" si="25"/>
        <v>0.86214626268158723</v>
      </c>
      <c r="D40" s="113">
        <f t="shared" si="25"/>
        <v>5.1119672250049854E-3</v>
      </c>
      <c r="E40" s="113">
        <f t="shared" si="25"/>
        <v>1.3988192700075609E-3</v>
      </c>
      <c r="F40" s="113">
        <f t="shared" si="25"/>
        <v>6.5795869743239064E-3</v>
      </c>
      <c r="G40" s="113">
        <f t="shared" si="25"/>
        <v>1.4108235839094081E-3</v>
      </c>
      <c r="H40" s="113">
        <f t="shared" si="25"/>
        <v>5.5872967838905109E-4</v>
      </c>
      <c r="I40" s="113"/>
      <c r="J40" s="113"/>
      <c r="K40" s="113">
        <f t="shared" si="6"/>
        <v>0.89200835038475279</v>
      </c>
      <c r="L40" s="107">
        <f t="shared" si="7"/>
        <v>0.87720618941322215</v>
      </c>
      <c r="M40" s="111">
        <f t="shared" si="8"/>
        <v>0.88214789293897444</v>
      </c>
      <c r="N40" s="113">
        <f t="shared" si="9"/>
        <v>1.4802160971530596E-2</v>
      </c>
      <c r="O40" s="114">
        <f t="shared" si="10"/>
        <v>3.5498222074460992</v>
      </c>
      <c r="P40" s="111">
        <f t="shared" si="11"/>
        <v>3.0850658682031127</v>
      </c>
      <c r="Q40" s="111">
        <v>1.524280000000001</v>
      </c>
      <c r="R40" s="107">
        <f t="shared" si="12"/>
        <v>1.5700832631251704</v>
      </c>
      <c r="S40" s="115">
        <v>0.90058636363636357</v>
      </c>
      <c r="T40" s="107">
        <f t="shared" si="21"/>
        <v>5</v>
      </c>
      <c r="U40" s="111">
        <f t="shared" si="13"/>
        <v>3.2778631480384264</v>
      </c>
      <c r="V40" s="111">
        <f t="shared" si="14"/>
        <v>3.1778631480384263</v>
      </c>
      <c r="W40" s="111">
        <f t="shared" si="15"/>
        <v>3.0850658682031127</v>
      </c>
      <c r="X40" s="111">
        <f t="shared" si="16"/>
        <v>6.0453034454905215</v>
      </c>
      <c r="Y40" s="115">
        <v>1.5680000000000003</v>
      </c>
      <c r="Z40" s="115">
        <v>0.4593192019702228</v>
      </c>
      <c r="AA40" s="113">
        <f t="shared" si="23"/>
        <v>-6.0794410920018971E-3</v>
      </c>
      <c r="AB40" s="113">
        <f t="shared" si="23"/>
        <v>-8.0101862533684481E-2</v>
      </c>
      <c r="AC40" s="113">
        <f t="shared" si="23"/>
        <v>-0.15407257631948371</v>
      </c>
      <c r="AD40" s="113">
        <f t="shared" si="23"/>
        <v>6.799486090412267E-2</v>
      </c>
      <c r="AE40" s="113">
        <f t="shared" si="23"/>
        <v>0.14212128551204778</v>
      </c>
      <c r="AF40" s="113">
        <f t="shared" si="23"/>
        <v>0.21630014555401816</v>
      </c>
      <c r="AG40" s="113">
        <f t="shared" si="23"/>
        <v>0.29053182671737265</v>
      </c>
      <c r="AH40" s="113">
        <f t="shared" si="23"/>
        <v>0.36481679018224777</v>
      </c>
      <c r="AI40" s="113">
        <f t="shared" si="23"/>
        <v>0.43915557581938602</v>
      </c>
      <c r="AJ40" s="113">
        <f t="shared" si="23"/>
        <v>0.51354880601115938</v>
      </c>
      <c r="AK40" s="113">
        <f t="shared" si="23"/>
        <v>0.58799719016105056</v>
      </c>
      <c r="AL40" s="113">
        <f t="shared" si="23"/>
        <v>0.66250152997103684</v>
      </c>
      <c r="AM40" s="113">
        <f t="shared" si="23"/>
        <v>0.73706272558313646</v>
      </c>
      <c r="AN40" s="113">
        <f t="shared" si="23"/>
        <v>0.81168178270150393</v>
      </c>
      <c r="AO40" s="113">
        <f t="shared" si="23"/>
        <v>0.88635982083575582</v>
      </c>
      <c r="AP40" s="113">
        <f t="shared" si="23"/>
        <v>0.96109808283580245</v>
      </c>
      <c r="AQ40" s="113">
        <f t="shared" si="22"/>
        <v>1.0358979459247999</v>
      </c>
      <c r="AR40" s="113">
        <f t="shared" si="22"/>
        <v>-0.22799168732623196</v>
      </c>
      <c r="AS40" s="113">
        <f t="shared" si="22"/>
        <v>-0.30185923309465579</v>
      </c>
      <c r="AT40" s="113">
        <f t="shared" si="22"/>
        <v>-0.37567518407404127</v>
      </c>
      <c r="AU40" s="113">
        <f t="shared" si="22"/>
        <v>-0.44943944342967501</v>
      </c>
      <c r="AV40" s="113">
        <f t="shared" si="22"/>
        <v>-0.52315184641012691</v>
      </c>
      <c r="AW40" s="113">
        <f t="shared" si="22"/>
        <v>-0.59681215926468956</v>
      </c>
      <c r="AX40" s="113">
        <f t="shared" si="22"/>
        <v>-0.67042007769428136</v>
      </c>
      <c r="AY40" s="113">
        <f t="shared" si="22"/>
        <v>-0.74397522481163303</v>
      </c>
      <c r="AZ40" s="113">
        <f t="shared" si="22"/>
        <v>-0.81747714857841358</v>
      </c>
      <c r="BA40" s="113">
        <f t="shared" si="24"/>
        <v>-0.89092531867784597</v>
      </c>
      <c r="BB40" s="113">
        <f t="shared" si="24"/>
        <v>-0.96431912277102994</v>
      </c>
      <c r="BC40" s="113">
        <f t="shared" si="24"/>
        <v>-1.0376578620732722</v>
      </c>
      <c r="BD40" s="113">
        <f t="shared" si="24"/>
        <v>-1.1109407461727947</v>
      </c>
      <c r="BE40" s="113">
        <f t="shared" si="24"/>
        <v>-1.1841668869977218</v>
      </c>
      <c r="BF40" s="113">
        <f t="shared" si="24"/>
        <v>-1.2573352918175544</v>
      </c>
      <c r="BG40" s="113">
        <f t="shared" si="24"/>
        <v>-1.3304448551415951</v>
      </c>
      <c r="BH40" s="113">
        <f t="shared" si="24"/>
        <v>-1.403494349347892</v>
      </c>
      <c r="BI40" s="113">
        <f t="shared" si="24"/>
        <v>-1.4764824138408246</v>
      </c>
    </row>
    <row r="41" spans="1:61">
      <c r="A41" s="113">
        <f t="shared" si="20"/>
        <v>1.7849999999999973</v>
      </c>
      <c r="B41" s="110">
        <f t="shared" si="4"/>
        <v>0.62653917396156245</v>
      </c>
      <c r="C41" s="159">
        <f t="shared" si="25"/>
        <v>0.85832145563626838</v>
      </c>
      <c r="D41" s="113">
        <f t="shared" si="25"/>
        <v>5.9977780218886502E-3</v>
      </c>
      <c r="E41" s="113">
        <f t="shared" si="25"/>
        <v>1.6502180612631952E-3</v>
      </c>
      <c r="F41" s="113">
        <f t="shared" si="25"/>
        <v>8.0229360405205188E-3</v>
      </c>
      <c r="G41" s="113">
        <f t="shared" si="25"/>
        <v>1.7154199488339484E-3</v>
      </c>
      <c r="H41" s="113">
        <f t="shared" si="25"/>
        <v>6.8300643798266999E-4</v>
      </c>
      <c r="I41" s="113"/>
      <c r="J41" s="113"/>
      <c r="K41" s="113">
        <f t="shared" si="6"/>
        <v>0.89117678049844373</v>
      </c>
      <c r="L41" s="107">
        <f t="shared" si="7"/>
        <v>0.87639081414675735</v>
      </c>
      <c r="M41" s="111">
        <f t="shared" si="8"/>
        <v>0.88215662229332437</v>
      </c>
      <c r="N41" s="113">
        <f t="shared" si="9"/>
        <v>1.4785966351686358E-2</v>
      </c>
      <c r="O41" s="114">
        <f t="shared" si="10"/>
        <v>3.5199917687280649</v>
      </c>
      <c r="P41" s="111">
        <f t="shared" si="11"/>
        <v>3.0851659113405629</v>
      </c>
      <c r="Q41" s="111">
        <v>1.524280000000001</v>
      </c>
      <c r="R41" s="107">
        <f t="shared" si="12"/>
        <v>1.5700323990134193</v>
      </c>
      <c r="S41" s="115">
        <v>0.90058636363636357</v>
      </c>
      <c r="T41" s="107">
        <f t="shared" si="21"/>
        <v>5</v>
      </c>
      <c r="U41" s="111">
        <f t="shared" si="13"/>
        <v>3.2778631480384264</v>
      </c>
      <c r="V41" s="111">
        <f t="shared" si="14"/>
        <v>3.1778631480384263</v>
      </c>
      <c r="W41" s="111">
        <f t="shared" si="15"/>
        <v>3.0851659113405629</v>
      </c>
      <c r="X41" s="111">
        <f t="shared" si="16"/>
        <v>6.0554670363810219</v>
      </c>
      <c r="Y41" s="115">
        <v>1.5680000000000003</v>
      </c>
      <c r="Z41" s="115">
        <v>0.4593192019702228</v>
      </c>
      <c r="AA41" s="113">
        <f t="shared" si="23"/>
        <v>-6.6566170431192617E-3</v>
      </c>
      <c r="AB41" s="113">
        <f t="shared" si="23"/>
        <v>-8.0678380366145733E-2</v>
      </c>
      <c r="AC41" s="113">
        <f t="shared" si="23"/>
        <v>-0.15464800009714341</v>
      </c>
      <c r="AD41" s="113">
        <f t="shared" si="23"/>
        <v>6.7417464830170887E-2</v>
      </c>
      <c r="AE41" s="113">
        <f t="shared" si="23"/>
        <v>0.14154411113346516</v>
      </c>
      <c r="AF41" s="113">
        <f t="shared" si="23"/>
        <v>0.21572364032722258</v>
      </c>
      <c r="AG41" s="113">
        <f t="shared" si="23"/>
        <v>0.28995644562728695</v>
      </c>
      <c r="AH41" s="113">
        <f t="shared" si="23"/>
        <v>0.36424299773015834</v>
      </c>
      <c r="AI41" s="113">
        <f t="shared" si="23"/>
        <v>0.4385838481338285</v>
      </c>
      <c r="AJ41" s="113">
        <f t="shared" si="23"/>
        <v>0.51297963311031036</v>
      </c>
      <c r="AK41" s="113">
        <f t="shared" si="23"/>
        <v>0.58743107839891073</v>
      </c>
      <c r="AL41" s="113">
        <f t="shared" si="23"/>
        <v>0.66193900470445355</v>
      </c>
      <c r="AM41" s="113">
        <f t="shared" si="23"/>
        <v>0.73650433410263028</v>
      </c>
      <c r="AN41" s="113">
        <f t="shared" si="23"/>
        <v>0.81112809747621817</v>
      </c>
      <c r="AO41" s="113">
        <f t="shared" si="23"/>
        <v>0.88581144313197924</v>
      </c>
      <c r="AP41" s="113">
        <f t="shared" si="23"/>
        <v>0.96055564677988947</v>
      </c>
      <c r="AQ41" s="113">
        <f t="shared" si="22"/>
        <v>1.0353621230955337</v>
      </c>
      <c r="AR41" s="113">
        <f t="shared" si="22"/>
        <v>-0.22856558144298283</v>
      </c>
      <c r="AS41" s="113">
        <f t="shared" si="22"/>
        <v>-0.30243116055861674</v>
      </c>
      <c r="AT41" s="113">
        <f t="shared" si="22"/>
        <v>-0.37624470478672245</v>
      </c>
      <c r="AU41" s="113">
        <f t="shared" si="22"/>
        <v>-0.45000611244125854</v>
      </c>
      <c r="AV41" s="113">
        <f t="shared" si="22"/>
        <v>-0.52371521213157834</v>
      </c>
      <c r="AW41" s="113">
        <f t="shared" si="22"/>
        <v>-0.59737176161657746</v>
      </c>
      <c r="AX41" s="113">
        <f t="shared" si="22"/>
        <v>-0.67097544617089244</v>
      </c>
      <c r="AY41" s="113">
        <f t="shared" si="22"/>
        <v>-0.74452587643718959</v>
      </c>
      <c r="AZ41" s="113">
        <f t="shared" si="22"/>
        <v>-0.81802258572985986</v>
      </c>
      <c r="BA41" s="113">
        <f t="shared" si="24"/>
        <v>-0.89146502674569184</v>
      </c>
      <c r="BB41" s="113">
        <f t="shared" si="24"/>
        <v>-0.96485256762599603</v>
      </c>
      <c r="BC41" s="113">
        <f t="shared" si="24"/>
        <v>-1.0381844873018373</v>
      </c>
      <c r="BD41" s="113">
        <f t="shared" si="24"/>
        <v>-1.1114599700390031</v>
      </c>
      <c r="BE41" s="113">
        <f t="shared" si="24"/>
        <v>-1.1846780990815196</v>
      </c>
      <c r="BF41" s="113">
        <f t="shared" si="24"/>
        <v>-1.2578378492711715</v>
      </c>
      <c r="BG41" s="113">
        <f t="shared" si="24"/>
        <v>-1.3309380784946689</v>
      </c>
      <c r="BH41" s="113">
        <f t="shared" si="24"/>
        <v>-1.4039775177785814</v>
      </c>
      <c r="BI41" s="113">
        <f t="shared" si="24"/>
        <v>-1.4769547598134096</v>
      </c>
    </row>
    <row r="42" spans="1:61">
      <c r="A42" s="113">
        <f t="shared" si="20"/>
        <v>1.7999999999999972</v>
      </c>
      <c r="B42" s="110">
        <f t="shared" si="4"/>
        <v>0.63180420903686962</v>
      </c>
      <c r="C42" s="159">
        <f t="shared" si="25"/>
        <v>0.85423852719525806</v>
      </c>
      <c r="D42" s="113">
        <f t="shared" si="25"/>
        <v>6.9163528158596669E-3</v>
      </c>
      <c r="E42" s="113">
        <f t="shared" si="25"/>
        <v>1.9134850458184757E-3</v>
      </c>
      <c r="F42" s="113">
        <f t="shared" si="25"/>
        <v>9.5987827932403191E-3</v>
      </c>
      <c r="G42" s="113">
        <f t="shared" si="25"/>
        <v>2.0444380946548746E-3</v>
      </c>
      <c r="H42" s="113">
        <f t="shared" si="25"/>
        <v>8.1720132308196985E-4</v>
      </c>
      <c r="I42" s="113"/>
      <c r="J42" s="113"/>
      <c r="K42" s="113">
        <f t="shared" si="6"/>
        <v>0.89029895396325021</v>
      </c>
      <c r="L42" s="107">
        <f t="shared" si="7"/>
        <v>0.87552878726791328</v>
      </c>
      <c r="M42" s="111">
        <f t="shared" si="8"/>
        <v>0.88216513872444435</v>
      </c>
      <c r="N42" s="113">
        <f t="shared" si="9"/>
        <v>1.4770166695336887E-2</v>
      </c>
      <c r="O42" s="114">
        <f t="shared" si="10"/>
        <v>3.4906585039886644</v>
      </c>
      <c r="P42" s="111">
        <f t="shared" si="11"/>
        <v>3.0852635176560903</v>
      </c>
      <c r="Q42" s="111">
        <v>1.524280000000001</v>
      </c>
      <c r="R42" s="107">
        <f t="shared" si="12"/>
        <v>1.5699827770156989</v>
      </c>
      <c r="S42" s="115">
        <v>0.90058636363636357</v>
      </c>
      <c r="T42" s="107">
        <f t="shared" si="21"/>
        <v>5</v>
      </c>
      <c r="U42" s="111">
        <f t="shared" si="13"/>
        <v>3.2778631480384264</v>
      </c>
      <c r="V42" s="111">
        <f t="shared" si="14"/>
        <v>3.1778631480384263</v>
      </c>
      <c r="W42" s="111">
        <f t="shared" si="15"/>
        <v>3.0852635176560903</v>
      </c>
      <c r="X42" s="111">
        <f t="shared" si="16"/>
        <v>6.0656308185323997</v>
      </c>
      <c r="Y42" s="115">
        <v>1.5680000000000003</v>
      </c>
      <c r="Z42" s="115">
        <v>0.4593192019702228</v>
      </c>
      <c r="AA42" s="113">
        <f t="shared" si="23"/>
        <v>-7.2240241729548543E-3</v>
      </c>
      <c r="AB42" s="113">
        <f t="shared" si="23"/>
        <v>-8.12451294048981E-2</v>
      </c>
      <c r="AC42" s="113">
        <f t="shared" si="23"/>
        <v>-0.1552136551260824</v>
      </c>
      <c r="AD42" s="113">
        <f t="shared" si="23"/>
        <v>6.6849837582864224E-2</v>
      </c>
      <c r="AE42" s="113">
        <f t="shared" si="23"/>
        <v>0.14097670558945272</v>
      </c>
      <c r="AF42" s="113">
        <f t="shared" si="23"/>
        <v>0.21515690400109233</v>
      </c>
      <c r="AG42" s="113">
        <f t="shared" si="23"/>
        <v>0.28939083365058077</v>
      </c>
      <c r="AH42" s="113">
        <f t="shared" si="23"/>
        <v>0.36367897487488432</v>
      </c>
      <c r="AI42" s="113">
        <f t="shared" si="23"/>
        <v>0.43802189096273425</v>
      </c>
      <c r="AJ42" s="113">
        <f t="shared" si="23"/>
        <v>0.51242023228346112</v>
      </c>
      <c r="AK42" s="113">
        <f t="shared" si="23"/>
        <v>0.58687474117011629</v>
      </c>
      <c r="AL42" s="113">
        <f t="shared" si="23"/>
        <v>0.66138625764609271</v>
      </c>
      <c r="AM42" s="113">
        <f t="shared" si="23"/>
        <v>0.73595572610366422</v>
      </c>
      <c r="AN42" s="113">
        <f t="shared" si="23"/>
        <v>0.81058420306593715</v>
      </c>
      <c r="AO42" s="113">
        <f t="shared" si="23"/>
        <v>0.88527286619169199</v>
      </c>
      <c r="AP42" s="113">
        <f t="shared" si="23"/>
        <v>0.96002302471682022</v>
      </c>
      <c r="AQ42" s="113">
        <f t="shared" si="22"/>
        <v>1.034836131568291</v>
      </c>
      <c r="AR42" s="113">
        <f t="shared" si="22"/>
        <v>-0.22912970683964995</v>
      </c>
      <c r="AS42" s="113">
        <f t="shared" si="22"/>
        <v>-0.30299331925198419</v>
      </c>
      <c r="AT42" s="113">
        <f t="shared" si="22"/>
        <v>-0.37680445650663313</v>
      </c>
      <c r="AU42" s="113">
        <f t="shared" si="22"/>
        <v>-0.45056301194262821</v>
      </c>
      <c r="AV42" s="113">
        <f t="shared" si="22"/>
        <v>-0.52426880737338932</v>
      </c>
      <c r="AW42" s="113">
        <f t="shared" si="22"/>
        <v>-0.59792159187479366</v>
      </c>
      <c r="AX42" s="113">
        <f t="shared" si="22"/>
        <v>-0.67152104006305491</v>
      </c>
      <c r="AY42" s="113">
        <f t="shared" si="22"/>
        <v>-0.74506674983456012</v>
      </c>
      <c r="AZ42" s="113">
        <f t="shared" si="22"/>
        <v>-0.81855823953049511</v>
      </c>
      <c r="BA42" s="113">
        <f t="shared" si="24"/>
        <v>-0.89199494447866146</v>
      </c>
      <c r="BB42" s="113">
        <f t="shared" si="24"/>
        <v>-0.96537621285298092</v>
      </c>
      <c r="BC42" s="113">
        <f t="shared" si="24"/>
        <v>-1.0387013007773962</v>
      </c>
      <c r="BD42" s="113">
        <f t="shared" si="24"/>
        <v>-1.1119693665846688</v>
      </c>
      <c r="BE42" s="113">
        <f t="shared" si="24"/>
        <v>-1.1851794641213156</v>
      </c>
      <c r="BF42" s="113">
        <f t="shared" si="24"/>
        <v>-1.2583305349667704</v>
      </c>
      <c r="BG42" s="113">
        <f t="shared" si="24"/>
        <v>-1.331421399406798</v>
      </c>
      <c r="BH42" s="113">
        <f t="shared" si="24"/>
        <v>-1.4044507459668294</v>
      </c>
      <c r="BI42" s="113">
        <f t="shared" si="24"/>
        <v>-1.4774171192685219</v>
      </c>
    </row>
    <row r="43" spans="1:61">
      <c r="A43" s="113">
        <f t="shared" si="20"/>
        <v>1.8149999999999971</v>
      </c>
      <c r="B43" s="110">
        <f t="shared" si="4"/>
        <v>0.63706924411217691</v>
      </c>
      <c r="C43" s="159">
        <f t="shared" si="25"/>
        <v>0.84991569878220297</v>
      </c>
      <c r="D43" s="113">
        <f t="shared" si="25"/>
        <v>7.86128109535578E-3</v>
      </c>
      <c r="E43" s="113">
        <f t="shared" si="25"/>
        <v>2.186942928566791E-3</v>
      </c>
      <c r="F43" s="113">
        <f t="shared" si="25"/>
        <v>1.1303780560427209E-2</v>
      </c>
      <c r="G43" s="113">
        <f t="shared" si="25"/>
        <v>2.3964717600679225E-3</v>
      </c>
      <c r="H43" s="113">
        <f t="shared" si="25"/>
        <v>9.606467817820807E-4</v>
      </c>
      <c r="I43" s="113"/>
      <c r="J43" s="113"/>
      <c r="K43" s="113">
        <f t="shared" si="6"/>
        <v>0.88937957124140499</v>
      </c>
      <c r="L43" s="107">
        <f t="shared" si="7"/>
        <v>0.87462482190840285</v>
      </c>
      <c r="M43" s="111">
        <f t="shared" si="8"/>
        <v>0.88217344906347517</v>
      </c>
      <c r="N43" s="113">
        <f t="shared" si="9"/>
        <v>1.4754749333002163E-2</v>
      </c>
      <c r="O43" s="114">
        <f t="shared" si="10"/>
        <v>3.4618100866003285</v>
      </c>
      <c r="P43" s="111">
        <f t="shared" si="11"/>
        <v>3.0853587651937069</v>
      </c>
      <c r="Q43" s="111">
        <v>1.524280000000001</v>
      </c>
      <c r="R43" s="107">
        <f t="shared" si="12"/>
        <v>1.5699343572234088</v>
      </c>
      <c r="S43" s="115">
        <v>0.90058636363636357</v>
      </c>
      <c r="T43" s="107">
        <f t="shared" si="21"/>
        <v>5</v>
      </c>
      <c r="U43" s="111">
        <f t="shared" si="13"/>
        <v>3.2778631480384264</v>
      </c>
      <c r="V43" s="111">
        <f t="shared" si="14"/>
        <v>3.1778631480384263</v>
      </c>
      <c r="W43" s="111">
        <f t="shared" si="15"/>
        <v>3.0853587651937069</v>
      </c>
      <c r="X43" s="111">
        <f t="shared" si="16"/>
        <v>6.0757947922753042</v>
      </c>
      <c r="Y43" s="115">
        <v>1.5680000000000003</v>
      </c>
      <c r="Z43" s="115">
        <v>0.4593192019702228</v>
      </c>
      <c r="AA43" s="113">
        <f t="shared" si="23"/>
        <v>-7.7819093218805951E-3</v>
      </c>
      <c r="AB43" s="113">
        <f t="shared" si="23"/>
        <v>-8.1802356490157699E-2</v>
      </c>
      <c r="AC43" s="113">
        <f t="shared" si="23"/>
        <v>-0.15576978824584942</v>
      </c>
      <c r="AD43" s="113">
        <f t="shared" si="23"/>
        <v>6.6291732321820243E-2</v>
      </c>
      <c r="AE43" s="113">
        <f t="shared" si="23"/>
        <v>0.14041882203963901</v>
      </c>
      <c r="AF43" s="113">
        <f t="shared" si="23"/>
        <v>0.21459968973542604</v>
      </c>
      <c r="AG43" s="113">
        <f t="shared" si="23"/>
        <v>0.28883474394781783</v>
      </c>
      <c r="AH43" s="113">
        <f t="shared" si="23"/>
        <v>0.36312447477914322</v>
      </c>
      <c r="AI43" s="113">
        <f t="shared" si="23"/>
        <v>0.43746945747359867</v>
      </c>
      <c r="AJ43" s="113">
        <f t="shared" si="23"/>
        <v>0.5118703567073033</v>
      </c>
      <c r="AK43" s="113">
        <f t="shared" si="23"/>
        <v>0.58632793166748076</v>
      </c>
      <c r="AL43" s="113">
        <f t="shared" si="23"/>
        <v>0.66084304201524635</v>
      </c>
      <c r="AM43" s="113">
        <f t="shared" si="23"/>
        <v>0.73541665484698637</v>
      </c>
      <c r="AN43" s="113">
        <f t="shared" si="23"/>
        <v>0.81004985279401454</v>
      </c>
      <c r="AO43" s="113">
        <f t="shared" si="23"/>
        <v>0.88474384343019663</v>
      </c>
      <c r="AP43" s="113">
        <f t="shared" si="23"/>
        <v>0.95949997019401867</v>
      </c>
      <c r="AQ43" s="113">
        <f t="shared" ref="AQ43:BF53" si="26">$M$5*AQ$10+($O43*$R43*COS(PI()/180*$P43)-($O43^2*1^2-($O43*$R43*SIN(PI()/180*$P43)+$M$5*AQ$10)^2)^0.5)*TAN(PI()/180*$D$6)</f>
        <v>1.0343197250770768</v>
      </c>
      <c r="AR43" s="113">
        <f t="shared" si="26"/>
        <v>-0.22968431035399572</v>
      </c>
      <c r="AS43" s="113">
        <f t="shared" si="26"/>
        <v>-0.30354595600875328</v>
      </c>
      <c r="AT43" s="113">
        <f t="shared" si="26"/>
        <v>-0.37735468606086991</v>
      </c>
      <c r="AU43" s="113">
        <f t="shared" si="26"/>
        <v>-0.45111038874936693</v>
      </c>
      <c r="AV43" s="113">
        <f t="shared" si="26"/>
        <v>-0.52481287893312589</v>
      </c>
      <c r="AW43" s="113">
        <f t="shared" si="26"/>
        <v>-0.59846189681000139</v>
      </c>
      <c r="AX43" s="113">
        <f t="shared" si="26"/>
        <v>-0.67205710610264846</v>
      </c>
      <c r="AY43" s="113">
        <f t="shared" si="26"/>
        <v>-0.74559809168120206</v>
      </c>
      <c r="AZ43" s="113">
        <f t="shared" si="26"/>
        <v>-0.81908435658300272</v>
      </c>
      <c r="BA43" s="113">
        <f t="shared" si="26"/>
        <v>-0.8925153183784027</v>
      </c>
      <c r="BB43" s="113">
        <f t="shared" si="26"/>
        <v>-0.96589030481892202</v>
      </c>
      <c r="BC43" s="113">
        <f t="shared" si="26"/>
        <v>-1.0392085486891935</v>
      </c>
      <c r="BD43" s="113">
        <f t="shared" si="26"/>
        <v>-1.1124691817666696</v>
      </c>
      <c r="BE43" s="113">
        <f t="shared" si="26"/>
        <v>-1.1856712277722381</v>
      </c>
      <c r="BF43" s="113">
        <f t="shared" si="26"/>
        <v>-1.2588135941698186</v>
      </c>
      <c r="BG43" s="113">
        <f t="shared" si="24"/>
        <v>-1.331895062642495</v>
      </c>
      <c r="BH43" s="113">
        <f t="shared" si="24"/>
        <v>-1.4049142780353259</v>
      </c>
      <c r="BI43" s="113">
        <f t="shared" si="24"/>
        <v>-1.4778697355086539</v>
      </c>
    </row>
    <row r="44" spans="1:61">
      <c r="A44" s="113">
        <f t="shared" si="20"/>
        <v>1.829999999999997</v>
      </c>
      <c r="B44" s="110">
        <f t="shared" si="4"/>
        <v>0.64233427918748409</v>
      </c>
      <c r="C44" s="159">
        <f t="shared" si="25"/>
        <v>0.8453703397628114</v>
      </c>
      <c r="D44" s="113">
        <f t="shared" si="25"/>
        <v>8.8267522093668001E-3</v>
      </c>
      <c r="E44" s="113">
        <f t="shared" si="25"/>
        <v>2.4690324154624291E-3</v>
      </c>
      <c r="F44" s="113">
        <f t="shared" si="25"/>
        <v>1.3134463073343598E-2</v>
      </c>
      <c r="G44" s="113">
        <f t="shared" si="25"/>
        <v>2.7701308463344934E-3</v>
      </c>
      <c r="H44" s="113">
        <f t="shared" si="25"/>
        <v>1.1126896459127717E-3</v>
      </c>
      <c r="I44" s="113"/>
      <c r="J44" s="113"/>
      <c r="K44" s="113">
        <f t="shared" si="6"/>
        <v>0.88842311004946573</v>
      </c>
      <c r="L44" s="107">
        <f t="shared" si="7"/>
        <v>0.87368340795323163</v>
      </c>
      <c r="M44" s="111">
        <f t="shared" si="8"/>
        <v>0.88218155987135938</v>
      </c>
      <c r="N44" s="113">
        <f t="shared" si="9"/>
        <v>1.4739702096234064E-2</v>
      </c>
      <c r="O44" s="114">
        <f t="shared" si="10"/>
        <v>3.4334345940872111</v>
      </c>
      <c r="P44" s="111">
        <f t="shared" si="11"/>
        <v>3.0854517289169356</v>
      </c>
      <c r="Q44" s="111">
        <v>1.524280000000001</v>
      </c>
      <c r="R44" s="107">
        <f t="shared" si="12"/>
        <v>1.5698871013092677</v>
      </c>
      <c r="S44" s="115">
        <v>0.90058636363636357</v>
      </c>
      <c r="T44" s="107">
        <f t="shared" si="21"/>
        <v>5</v>
      </c>
      <c r="U44" s="111">
        <f t="shared" si="13"/>
        <v>3.2778631480384264</v>
      </c>
      <c r="V44" s="111">
        <f t="shared" si="14"/>
        <v>3.1778631480384263</v>
      </c>
      <c r="W44" s="111">
        <f t="shared" si="15"/>
        <v>3.0854517289169356</v>
      </c>
      <c r="X44" s="111">
        <f t="shared" si="16"/>
        <v>6.0859589579404378</v>
      </c>
      <c r="Y44" s="115">
        <v>1.5680000000000003</v>
      </c>
      <c r="Z44" s="115">
        <v>0.4593192019702228</v>
      </c>
      <c r="AA44" s="113">
        <f t="shared" ref="AA44:AP53" si="27">$M$5*AA$10+($O44*$R44*COS(PI()/180*$P44)-($O44^2*1^2-($O44*$R44*SIN(PI()/180*$P44)+$M$5*AA$10)^2)^0.5)*TAN(PI()/180*$D$6)</f>
        <v>-8.3305110548719113E-3</v>
      </c>
      <c r="AB44" s="113">
        <f t="shared" si="27"/>
        <v>-8.2350300186744121E-2</v>
      </c>
      <c r="AC44" s="113">
        <f t="shared" si="27"/>
        <v>-0.15631663802059681</v>
      </c>
      <c r="AD44" s="113">
        <f t="shared" si="27"/>
        <v>6.5742910482052871E-2</v>
      </c>
      <c r="AE44" s="113">
        <f t="shared" si="27"/>
        <v>0.13987022191904896</v>
      </c>
      <c r="AF44" s="113">
        <f t="shared" si="27"/>
        <v>0.21405175896541878</v>
      </c>
      <c r="AG44" s="113">
        <f t="shared" si="27"/>
        <v>0.28828793795495911</v>
      </c>
      <c r="AH44" s="113">
        <f t="shared" si="27"/>
        <v>0.3625792588810528</v>
      </c>
      <c r="AI44" s="113">
        <f t="shared" si="27"/>
        <v>0.43692630910932739</v>
      </c>
      <c r="AJ44" s="113">
        <f t="shared" si="27"/>
        <v>0.51132976783396433</v>
      </c>
      <c r="AK44" s="113">
        <f t="shared" si="27"/>
        <v>0.58579041135931287</v>
      </c>
      <c r="AL44" s="113">
        <f t="shared" si="27"/>
        <v>0.66030911930682112</v>
      </c>
      <c r="AM44" s="113">
        <f t="shared" si="27"/>
        <v>0.73488688186918794</v>
      </c>
      <c r="AN44" s="113">
        <f t="shared" si="27"/>
        <v>0.80952480826006101</v>
      </c>
      <c r="AO44" s="113">
        <f t="shared" si="27"/>
        <v>0.88422413653976573</v>
      </c>
      <c r="AP44" s="113">
        <f t="shared" si="27"/>
        <v>0.95898624503707097</v>
      </c>
      <c r="AQ44" s="113">
        <f t="shared" si="26"/>
        <v>1.0338126656359934</v>
      </c>
      <c r="AR44" s="113">
        <f t="shared" si="26"/>
        <v>-0.23022963054838663</v>
      </c>
      <c r="AS44" s="113">
        <f t="shared" si="26"/>
        <v>-0.3040893093875221</v>
      </c>
      <c r="AT44" s="113">
        <f t="shared" si="26"/>
        <v>-0.37789563200112941</v>
      </c>
      <c r="AU44" s="113">
        <f t="shared" si="26"/>
        <v>-0.4516484814016471</v>
      </c>
      <c r="AV44" s="113">
        <f t="shared" si="26"/>
        <v>-0.52534766533291655</v>
      </c>
      <c r="AW44" s="113">
        <f t="shared" si="26"/>
        <v>-0.5989929149173685</v>
      </c>
      <c r="AX44" s="113">
        <f t="shared" si="26"/>
        <v>-0.67258388274594461</v>
      </c>
      <c r="AY44" s="113">
        <f t="shared" si="26"/>
        <v>-0.74612014037876062</v>
      </c>
      <c r="AZ44" s="113">
        <f t="shared" si="26"/>
        <v>-0.81960117521390285</v>
      </c>
      <c r="BA44" s="113">
        <f t="shared" si="26"/>
        <v>-0.89302638666982137</v>
      </c>
      <c r="BB44" s="113">
        <f t="shared" si="26"/>
        <v>-0.9663950816130914</v>
      </c>
      <c r="BC44" s="113">
        <f t="shared" si="26"/>
        <v>-1.0397064689473783</v>
      </c>
      <c r="BD44" s="113">
        <f t="shared" si="26"/>
        <v>-1.1129596532606165</v>
      </c>
      <c r="BE44" s="113">
        <f t="shared" si="26"/>
        <v>-1.1861536274049183</v>
      </c>
      <c r="BF44" s="113">
        <f t="shared" si="26"/>
        <v>-1.2592872638565489</v>
      </c>
      <c r="BG44" s="113">
        <f t="shared" ref="BG44:BI53" si="28">$M$5*BG$10+($O44*$R44*COS(PI()/180*$P44)-($O44^2*1^2-($O44*$R44*SIN(PI()/180*$P44)+$M$5*BG$10)^2)^0.5)*TAN(PI()/180*$D$6)</f>
        <v>-1.3323593046701765</v>
      </c>
      <c r="BH44" s="113">
        <f t="shared" si="28"/>
        <v>-1.4053683498008265</v>
      </c>
      <c r="BI44" s="113">
        <f t="shared" si="28"/>
        <v>-1.4783128435163793</v>
      </c>
    </row>
    <row r="45" spans="1:61">
      <c r="A45" s="113">
        <f t="shared" si="20"/>
        <v>1.8449999999999969</v>
      </c>
      <c r="B45" s="110">
        <f t="shared" si="4"/>
        <v>0.64759931426279127</v>
      </c>
      <c r="C45" s="159">
        <f t="shared" si="25"/>
        <v>0.84061899221466707</v>
      </c>
      <c r="D45" s="113">
        <f t="shared" si="25"/>
        <v>9.8075088174153988E-3</v>
      </c>
      <c r="E45" s="113">
        <f t="shared" si="25"/>
        <v>2.7583067737202704E-3</v>
      </c>
      <c r="F45" s="113">
        <f t="shared" si="25"/>
        <v>1.5087266331871138E-2</v>
      </c>
      <c r="G45" s="113">
        <f t="shared" si="25"/>
        <v>3.1640460571279098E-3</v>
      </c>
      <c r="H45" s="113">
        <f t="shared" si="25"/>
        <v>1.272692803430227E-3</v>
      </c>
      <c r="I45" s="113"/>
      <c r="J45" s="113"/>
      <c r="K45" s="113">
        <f t="shared" si="6"/>
        <v>0.88743382629240453</v>
      </c>
      <c r="L45" s="107">
        <f t="shared" si="7"/>
        <v>0.87270881299823211</v>
      </c>
      <c r="M45" s="111">
        <f t="shared" si="8"/>
        <v>0.88218947745148724</v>
      </c>
      <c r="N45" s="113">
        <f t="shared" si="9"/>
        <v>1.4725013294172392E-2</v>
      </c>
      <c r="O45" s="114">
        <f t="shared" si="10"/>
        <v>3.4055204916962585</v>
      </c>
      <c r="P45" s="111">
        <f t="shared" si="11"/>
        <v>3.0855424808526277</v>
      </c>
      <c r="Q45" s="111">
        <v>1.524280000000001</v>
      </c>
      <c r="R45" s="107">
        <f t="shared" si="12"/>
        <v>1.5698409724531512</v>
      </c>
      <c r="S45" s="115">
        <v>0.90058636363636357</v>
      </c>
      <c r="T45" s="107">
        <f t="shared" si="21"/>
        <v>5</v>
      </c>
      <c r="U45" s="111">
        <f t="shared" si="13"/>
        <v>3.2778631480384264</v>
      </c>
      <c r="V45" s="111">
        <f t="shared" si="14"/>
        <v>3.1778631480384263</v>
      </c>
      <c r="W45" s="111">
        <f t="shared" si="15"/>
        <v>3.0855424808526277</v>
      </c>
      <c r="X45" s="111">
        <f t="shared" si="16"/>
        <v>6.0961233158585602</v>
      </c>
      <c r="Y45" s="115">
        <v>1.5680000000000003</v>
      </c>
      <c r="Z45" s="115">
        <v>0.4593192019702228</v>
      </c>
      <c r="AA45" s="113">
        <f t="shared" si="27"/>
        <v>-8.8700600063846835E-3</v>
      </c>
      <c r="AB45" s="113">
        <f t="shared" si="27"/>
        <v>-8.2889191128957457E-2</v>
      </c>
      <c r="AC45" s="113">
        <f t="shared" si="27"/>
        <v>-0.15685443508395747</v>
      </c>
      <c r="AD45" s="113">
        <f t="shared" si="27"/>
        <v>6.5203141429095793E-2</v>
      </c>
      <c r="AE45" s="113">
        <f t="shared" si="27"/>
        <v>0.13933067459322729</v>
      </c>
      <c r="AF45" s="113">
        <f t="shared" si="27"/>
        <v>0.21351288105678545</v>
      </c>
      <c r="AG45" s="113">
        <f t="shared" si="27"/>
        <v>0.28775018503848604</v>
      </c>
      <c r="AH45" s="113">
        <f t="shared" si="27"/>
        <v>0.36204309654925459</v>
      </c>
      <c r="AI45" s="113">
        <f t="shared" si="27"/>
        <v>0.43639221524335986</v>
      </c>
      <c r="AJ45" s="113">
        <f t="shared" si="27"/>
        <v>0.51079823504613153</v>
      </c>
      <c r="AK45" s="113">
        <f t="shared" si="27"/>
        <v>0.58526194964453992</v>
      </c>
      <c r="AL45" s="113">
        <f t="shared" si="27"/>
        <v>0.65978425894646331</v>
      </c>
      <c r="AM45" s="113">
        <f t="shared" si="27"/>
        <v>0.73436617663783099</v>
      </c>
      <c r="AN45" s="113">
        <f t="shared" si="27"/>
        <v>0.80900883899507547</v>
      </c>
      <c r="AO45" s="113">
        <f t="shared" si="27"/>
        <v>0.88371351514478402</v>
      </c>
      <c r="AP45" s="113">
        <f t="shared" si="27"/>
        <v>0.95848161900488438</v>
      </c>
      <c r="AQ45" s="113">
        <f t="shared" si="26"/>
        <v>1.0333147231944306</v>
      </c>
      <c r="AR45" s="113">
        <f t="shared" si="26"/>
        <v>-0.23076589805466965</v>
      </c>
      <c r="AS45" s="113">
        <f t="shared" si="26"/>
        <v>-0.30462361001636895</v>
      </c>
      <c r="AT45" s="113">
        <f t="shared" si="26"/>
        <v>-0.37842752494858467</v>
      </c>
      <c r="AU45" s="113">
        <f t="shared" si="26"/>
        <v>-0.45217752050910631</v>
      </c>
      <c r="AV45" s="113">
        <f t="shared" si="26"/>
        <v>-0.52587339716432802</v>
      </c>
      <c r="AW45" s="113">
        <f t="shared" si="26"/>
        <v>-0.59951487676144244</v>
      </c>
      <c r="AX45" s="113">
        <f t="shared" si="26"/>
        <v>-0.67310160051848067</v>
      </c>
      <c r="AY45" s="113">
        <f t="shared" si="26"/>
        <v>-0.74663312639793855</v>
      </c>
      <c r="AZ45" s="113">
        <f t="shared" si="26"/>
        <v>-0.82010892581841599</v>
      </c>
      <c r="BA45" s="113">
        <f t="shared" si="26"/>
        <v>-0.89352837964593457</v>
      </c>
      <c r="BB45" s="113">
        <f t="shared" si="26"/>
        <v>-0.96689077339193352</v>
      </c>
      <c r="BC45" s="113">
        <f t="shared" si="26"/>
        <v>-1.0401952915278134</v>
      </c>
      <c r="BD45" s="113">
        <f t="shared" si="26"/>
        <v>-1.1134410108056239</v>
      </c>
      <c r="BE45" s="113">
        <f t="shared" si="26"/>
        <v>-1.1866268924501919</v>
      </c>
      <c r="BF45" s="113">
        <f t="shared" si="26"/>
        <v>-1.2597517730585579</v>
      </c>
      <c r="BG45" s="113">
        <f t="shared" si="28"/>
        <v>-1.3328143540066018</v>
      </c>
      <c r="BH45" s="113">
        <f t="shared" si="28"/>
        <v>-1.405813189118349</v>
      </c>
      <c r="BI45" s="113">
        <f t="shared" si="28"/>
        <v>-1.4787466702981737</v>
      </c>
    </row>
    <row r="46" spans="1:61">
      <c r="A46" s="113">
        <f t="shared" si="20"/>
        <v>1.8599999999999968</v>
      </c>
      <c r="B46" s="110">
        <f t="shared" si="4"/>
        <v>0.65286434933809856</v>
      </c>
      <c r="C46" s="159">
        <f t="shared" si="25"/>
        <v>0.83567739662339791</v>
      </c>
      <c r="D46" s="113">
        <f t="shared" si="25"/>
        <v>1.0798803511422995E-2</v>
      </c>
      <c r="E46" s="113">
        <f t="shared" si="25"/>
        <v>3.0534263655100789E-3</v>
      </c>
      <c r="F46" s="113">
        <f t="shared" si="25"/>
        <v>1.7158548649382811E-2</v>
      </c>
      <c r="G46" s="113">
        <f t="shared" si="25"/>
        <v>3.5768728948508324E-3</v>
      </c>
      <c r="H46" s="113">
        <f t="shared" si="25"/>
        <v>1.4400365780883994E-3</v>
      </c>
      <c r="I46" s="113"/>
      <c r="J46" s="113"/>
      <c r="K46" s="113">
        <f t="shared" si="6"/>
        <v>0.88641575631401626</v>
      </c>
      <c r="L46" s="107">
        <f t="shared" si="7"/>
        <v>0.87170508462265317</v>
      </c>
      <c r="M46" s="111">
        <f t="shared" si="8"/>
        <v>0.88219720786166134</v>
      </c>
      <c r="N46" s="113">
        <f t="shared" si="9"/>
        <v>1.4710671691363133E-2</v>
      </c>
      <c r="O46" s="114">
        <f t="shared" si="10"/>
        <v>3.3780566167632244</v>
      </c>
      <c r="P46" s="111">
        <f t="shared" si="11"/>
        <v>3.0856310902270572</v>
      </c>
      <c r="Q46" s="111">
        <v>1.524280000000001</v>
      </c>
      <c r="R46" s="107">
        <f t="shared" si="12"/>
        <v>1.5697959352719337</v>
      </c>
      <c r="S46" s="115">
        <v>0.90058636363636357</v>
      </c>
      <c r="T46" s="107">
        <f t="shared" si="21"/>
        <v>5</v>
      </c>
      <c r="U46" s="111">
        <f t="shared" si="13"/>
        <v>3.2778631480384264</v>
      </c>
      <c r="V46" s="111">
        <f t="shared" si="14"/>
        <v>3.1778631480384263</v>
      </c>
      <c r="W46" s="111">
        <f t="shared" si="15"/>
        <v>3.0856310902270572</v>
      </c>
      <c r="X46" s="111">
        <f t="shared" si="16"/>
        <v>6.1062878663604812</v>
      </c>
      <c r="Y46" s="115">
        <v>1.5680000000000003</v>
      </c>
      <c r="Z46" s="115">
        <v>0.4593192019702228</v>
      </c>
      <c r="AA46" s="113">
        <f t="shared" si="27"/>
        <v>-9.4007792080903485E-3</v>
      </c>
      <c r="AB46" s="113">
        <f t="shared" si="27"/>
        <v>-8.3419252348313419E-2</v>
      </c>
      <c r="AC46" s="113">
        <f t="shared" si="27"/>
        <v>-0.15738340246678009</v>
      </c>
      <c r="AD46" s="113">
        <f t="shared" si="27"/>
        <v>6.467220213126694E-2</v>
      </c>
      <c r="AE46" s="113">
        <f t="shared" si="27"/>
        <v>0.13879995703050291</v>
      </c>
      <c r="AF46" s="113">
        <f t="shared" si="27"/>
        <v>0.21298283297802534</v>
      </c>
      <c r="AG46" s="113">
        <f t="shared" si="27"/>
        <v>0.28722126216766508</v>
      </c>
      <c r="AH46" s="113">
        <f t="shared" si="27"/>
        <v>0.36151576475517833</v>
      </c>
      <c r="AI46" s="113">
        <f t="shared" si="27"/>
        <v>0.43586695285193383</v>
      </c>
      <c r="AJ46" s="113">
        <f t="shared" si="27"/>
        <v>0.51027553532931691</v>
      </c>
      <c r="AK46" s="113">
        <f t="shared" si="27"/>
        <v>0.58474232352497302</v>
      </c>
      <c r="AL46" s="113">
        <f t="shared" si="27"/>
        <v>0.65926823796282519</v>
      </c>
      <c r="AM46" s="113">
        <f t="shared" si="27"/>
        <v>0.73385431622371744</v>
      </c>
      <c r="AN46" s="113">
        <f t="shared" si="27"/>
        <v>0.80850172213371962</v>
      </c>
      <c r="AO46" s="113">
        <f t="shared" si="27"/>
        <v>0.88321175647403172</v>
      </c>
      <c r="AP46" s="113">
        <f t="shared" si="27"/>
        <v>0.95798586946198905</v>
      </c>
      <c r="AQ46" s="113">
        <f t="shared" si="26"/>
        <v>1.0328256753094003</v>
      </c>
      <c r="AR46" s="113">
        <f t="shared" si="26"/>
        <v>-0.23129333590190773</v>
      </c>
      <c r="AS46" s="113">
        <f t="shared" si="26"/>
        <v>-0.30514908092058751</v>
      </c>
      <c r="AT46" s="113">
        <f t="shared" si="26"/>
        <v>-0.37895058792162073</v>
      </c>
      <c r="AU46" s="113">
        <f t="shared" si="26"/>
        <v>-0.45269772907858308</v>
      </c>
      <c r="AV46" s="113">
        <f t="shared" si="26"/>
        <v>-0.52639029741609966</v>
      </c>
      <c r="AW46" s="113">
        <f t="shared" si="26"/>
        <v>-0.60002800530388378</v>
      </c>
      <c r="AX46" s="113">
        <f t="shared" si="26"/>
        <v>-0.6736104823427902</v>
      </c>
      <c r="AY46" s="113">
        <f t="shared" si="26"/>
        <v>-0.74713727260622442</v>
      </c>
      <c r="AZ46" s="113">
        <f t="shared" si="26"/>
        <v>-0.82060783118818525</v>
      </c>
      <c r="BA46" s="113">
        <f t="shared" si="26"/>
        <v>-0.89402151999558332</v>
      </c>
      <c r="BB46" s="113">
        <f t="shared" si="26"/>
        <v>-0.96737760270676099</v>
      </c>
      <c r="BC46" s="113">
        <f t="shared" si="26"/>
        <v>-1.040675238799746</v>
      </c>
      <c r="BD46" s="113">
        <f t="shared" si="26"/>
        <v>-1.1139134765319338</v>
      </c>
      <c r="BE46" s="113">
        <f t="shared" si="26"/>
        <v>-1.1870912447266591</v>
      </c>
      <c r="BF46" s="113">
        <f t="shared" si="26"/>
        <v>-1.2602073431902583</v>
      </c>
      <c r="BG46" s="113">
        <f t="shared" si="28"/>
        <v>-1.3332604315441605</v>
      </c>
      <c r="BH46" s="113">
        <f t="shared" si="28"/>
        <v>-1.4062490162082075</v>
      </c>
      <c r="BI46" s="113">
        <f t="shared" si="28"/>
        <v>-1.4791714352110674</v>
      </c>
    </row>
    <row r="47" spans="1:61">
      <c r="A47" s="113">
        <f t="shared" si="20"/>
        <v>1.8749999999999967</v>
      </c>
      <c r="B47" s="110">
        <f t="shared" si="4"/>
        <v>0.65812938441340574</v>
      </c>
      <c r="C47" s="159">
        <f t="shared" si="25"/>
        <v>0.83056051822598098</v>
      </c>
      <c r="D47" s="113">
        <f t="shared" si="25"/>
        <v>1.1796358438502052E-2</v>
      </c>
      <c r="E47" s="113">
        <f t="shared" si="25"/>
        <v>3.353153206089832E-3</v>
      </c>
      <c r="F47" s="113">
        <f t="shared" si="25"/>
        <v>1.9344608979137458E-2</v>
      </c>
      <c r="G47" s="113">
        <f t="shared" si="25"/>
        <v>4.0072950702215717E-3</v>
      </c>
      <c r="H47" s="113">
        <f t="shared" si="25"/>
        <v>1.6141198460807313E-3</v>
      </c>
      <c r="I47" s="113"/>
      <c r="J47" s="113"/>
      <c r="K47" s="113">
        <f t="shared" si="6"/>
        <v>0.88537272025277414</v>
      </c>
      <c r="L47" s="107">
        <f t="shared" si="7"/>
        <v>0.87067605376601265</v>
      </c>
      <c r="M47" s="111">
        <f t="shared" si="8"/>
        <v>0.88220475692542244</v>
      </c>
      <c r="N47" s="113">
        <f t="shared" si="9"/>
        <v>1.4696666486761519E-2</v>
      </c>
      <c r="O47" s="114">
        <f t="shared" si="10"/>
        <v>3.3510321638291187</v>
      </c>
      <c r="P47" s="111">
        <f t="shared" si="11"/>
        <v>3.085717623594765</v>
      </c>
      <c r="Q47" s="111">
        <v>1.524280000000001</v>
      </c>
      <c r="R47" s="107">
        <f t="shared" si="12"/>
        <v>1.5697519557530866</v>
      </c>
      <c r="S47" s="115">
        <v>0.90058636363636357</v>
      </c>
      <c r="T47" s="107">
        <f t="shared" si="21"/>
        <v>5</v>
      </c>
      <c r="U47" s="111">
        <f t="shared" si="13"/>
        <v>3.2778631480384264</v>
      </c>
      <c r="V47" s="111">
        <f t="shared" si="14"/>
        <v>3.1778631480384263</v>
      </c>
      <c r="W47" s="111">
        <f t="shared" si="15"/>
        <v>3.085717623594765</v>
      </c>
      <c r="X47" s="111">
        <f t="shared" si="16"/>
        <v>6.1164526097770695</v>
      </c>
      <c r="Y47" s="115">
        <v>1.5680000000000003</v>
      </c>
      <c r="Z47" s="115">
        <v>0.4593192019702228</v>
      </c>
      <c r="AA47" s="113">
        <f t="shared" si="27"/>
        <v>-9.9228844004573408E-3</v>
      </c>
      <c r="AB47" s="113">
        <f t="shared" si="27"/>
        <v>-8.394069958512472E-2</v>
      </c>
      <c r="AC47" s="113">
        <f t="shared" si="27"/>
        <v>-0.15790375590871059</v>
      </c>
      <c r="AD47" s="113">
        <f t="shared" si="27"/>
        <v>6.4149876848087359E-2</v>
      </c>
      <c r="AE47" s="113">
        <f t="shared" si="27"/>
        <v>0.13827785349040789</v>
      </c>
      <c r="AF47" s="113">
        <f t="shared" si="27"/>
        <v>0.21246139898884087</v>
      </c>
      <c r="AG47" s="113">
        <f t="shared" si="27"/>
        <v>0.28670095360296682</v>
      </c>
      <c r="AH47" s="113">
        <f t="shared" si="27"/>
        <v>0.3609970477614608</v>
      </c>
      <c r="AI47" s="113">
        <f t="shared" si="27"/>
        <v>0.43535030620250437</v>
      </c>
      <c r="AJ47" s="113">
        <f t="shared" si="27"/>
        <v>0.50976145296027631</v>
      </c>
      <c r="AK47" s="113">
        <f t="shared" si="27"/>
        <v>0.58423131729372713</v>
      </c>
      <c r="AL47" s="113">
        <f t="shared" si="27"/>
        <v>0.65876084067598606</v>
      </c>
      <c r="AM47" s="113">
        <f t="shared" si="27"/>
        <v>0.73335108498931223</v>
      </c>
      <c r="AN47" s="113">
        <f t="shared" si="27"/>
        <v>0.80800324210274588</v>
      </c>
      <c r="AO47" s="113">
        <f t="shared" si="27"/>
        <v>0.88271864504912223</v>
      </c>
      <c r="AP47" s="113">
        <f t="shared" si="27"/>
        <v>0.95749878106699338</v>
      </c>
      <c r="AQ47" s="113">
        <f t="shared" si="26"/>
        <v>1.0323453068340231</v>
      </c>
      <c r="AR47" s="113">
        <f t="shared" si="26"/>
        <v>-0.23181215982796111</v>
      </c>
      <c r="AS47" s="113">
        <f t="shared" si="26"/>
        <v>-0.30566593783426788</v>
      </c>
      <c r="AT47" s="113">
        <f t="shared" si="26"/>
        <v>-0.37946503664741532</v>
      </c>
      <c r="AU47" s="113">
        <f t="shared" si="26"/>
        <v>-0.45320932282569704</v>
      </c>
      <c r="AV47" s="113">
        <f t="shared" si="26"/>
        <v>-0.52689858178572402</v>
      </c>
      <c r="AW47" s="113">
        <f t="shared" si="26"/>
        <v>-0.60053251621504533</v>
      </c>
      <c r="AX47" s="113">
        <f t="shared" si="26"/>
        <v>-0.67411074384998138</v>
      </c>
      <c r="AY47" s="113">
        <f t="shared" si="26"/>
        <v>-0.74763279457946652</v>
      </c>
      <c r="AZ47" s="113">
        <f t="shared" si="26"/>
        <v>-0.82109810682284468</v>
      </c>
      <c r="BA47" s="113">
        <f t="shared" si="26"/>
        <v>-0.89450602311498995</v>
      </c>
      <c r="BB47" s="113">
        <f t="shared" si="26"/>
        <v>-0.96785578481529533</v>
      </c>
      <c r="BC47" s="113">
        <f t="shared" si="26"/>
        <v>-1.0411465258373209</v>
      </c>
      <c r="BD47" s="113">
        <f t="shared" si="26"/>
        <v>-1.1143772652723876</v>
      </c>
      <c r="BE47" s="113">
        <f t="shared" si="26"/>
        <v>-1.1875468987520834</v>
      </c>
      <c r="BF47" s="113">
        <f t="shared" si="26"/>
        <v>-1.2606541883601716</v>
      </c>
      <c r="BG47" s="113">
        <f t="shared" si="28"/>
        <v>-1.3336977508619978</v>
      </c>
      <c r="BH47" s="113">
        <f t="shared" si="28"/>
        <v>-1.4066760439668806</v>
      </c>
      <c r="BI47" s="113">
        <f t="shared" si="28"/>
        <v>-1.4795873502731158</v>
      </c>
    </row>
    <row r="48" spans="1:61">
      <c r="A48" s="113">
        <f t="shared" si="20"/>
        <v>1.8899999999999966</v>
      </c>
      <c r="B48" s="110">
        <f t="shared" si="4"/>
        <v>0.66339441948871303</v>
      </c>
      <c r="C48" s="159">
        <f t="shared" si="25"/>
        <v>0.8252825737594579</v>
      </c>
      <c r="D48" s="113">
        <f t="shared" si="25"/>
        <v>1.2796327756001038E-2</v>
      </c>
      <c r="E48" s="113">
        <f t="shared" si="25"/>
        <v>3.6563455881410824E-3</v>
      </c>
      <c r="F48" s="113">
        <f t="shared" si="25"/>
        <v>2.1641703623095261E-2</v>
      </c>
      <c r="G48" s="113">
        <f t="shared" si="25"/>
        <v>4.4540273785068389E-3</v>
      </c>
      <c r="H48" s="113">
        <f t="shared" si="25"/>
        <v>1.7943609171490679E-3</v>
      </c>
      <c r="I48" s="113"/>
      <c r="J48" s="113"/>
      <c r="K48" s="113">
        <f t="shared" si="6"/>
        <v>0.88430832631619893</v>
      </c>
      <c r="L48" s="107">
        <f t="shared" si="7"/>
        <v>0.86962533902235117</v>
      </c>
      <c r="M48" s="111">
        <f t="shared" si="8"/>
        <v>0.88221213024277456</v>
      </c>
      <c r="N48" s="113">
        <f t="shared" si="9"/>
        <v>1.4682987293847736E-2</v>
      </c>
      <c r="O48" s="114">
        <f t="shared" si="10"/>
        <v>3.3244366704653956</v>
      </c>
      <c r="P48" s="111">
        <f t="shared" si="11"/>
        <v>3.0858021449605926</v>
      </c>
      <c r="Q48" s="111">
        <v>1.524280000000001</v>
      </c>
      <c r="R48" s="107">
        <f t="shared" si="12"/>
        <v>1.5697090011918049</v>
      </c>
      <c r="S48" s="115">
        <v>0.90058636363636357</v>
      </c>
      <c r="T48" s="107">
        <f t="shared" si="21"/>
        <v>5</v>
      </c>
      <c r="U48" s="111">
        <f t="shared" si="13"/>
        <v>3.2778631480384264</v>
      </c>
      <c r="V48" s="111">
        <f t="shared" si="14"/>
        <v>3.1778631480384263</v>
      </c>
      <c r="W48" s="111">
        <f t="shared" si="15"/>
        <v>3.0858021449605926</v>
      </c>
      <c r="X48" s="111">
        <f t="shared" si="16"/>
        <v>6.1266175464392525</v>
      </c>
      <c r="Y48" s="115">
        <v>1.5680000000000003</v>
      </c>
      <c r="Z48" s="115">
        <v>0.4593192019702228</v>
      </c>
      <c r="AA48" s="113">
        <f t="shared" si="27"/>
        <v>-1.0436584329101592E-2</v>
      </c>
      <c r="AB48" s="113">
        <f t="shared" si="27"/>
        <v>-8.4453741584851597E-2</v>
      </c>
      <c r="AC48" s="113">
        <f t="shared" si="27"/>
        <v>-0.15841570415454226</v>
      </c>
      <c r="AD48" s="113">
        <f t="shared" si="27"/>
        <v>6.3635956833930599E-2</v>
      </c>
      <c r="AE48" s="113">
        <f t="shared" si="27"/>
        <v>0.13776415522732682</v>
      </c>
      <c r="AF48" s="113">
        <f t="shared" si="27"/>
        <v>0.21194837034378716</v>
      </c>
      <c r="AG48" s="113">
        <f t="shared" si="27"/>
        <v>0.286189050599715</v>
      </c>
      <c r="AH48" s="113">
        <f t="shared" si="27"/>
        <v>0.36048673682559551</v>
      </c>
      <c r="AI48" s="113">
        <f t="shared" si="27"/>
        <v>0.43484206655739338</v>
      </c>
      <c r="AJ48" s="113">
        <f t="shared" si="27"/>
        <v>0.50925577921065845</v>
      </c>
      <c r="AK48" s="113">
        <f t="shared" si="27"/>
        <v>0.58372872223887073</v>
      </c>
      <c r="AL48" s="113">
        <f t="shared" si="27"/>
        <v>0.65826185840110352</v>
      </c>
      <c r="AM48" s="113">
        <f t="shared" si="27"/>
        <v>0.73285627429239708</v>
      </c>
      <c r="AN48" s="113">
        <f t="shared" si="27"/>
        <v>0.80751319032465674</v>
      </c>
      <c r="AO48" s="113">
        <f t="shared" si="27"/>
        <v>0.88223397238817125</v>
      </c>
      <c r="AP48" s="113">
        <f t="shared" si="27"/>
        <v>0.95702014547627123</v>
      </c>
      <c r="AQ48" s="113">
        <f t="shared" si="26"/>
        <v>1.0318734096212498</v>
      </c>
      <c r="AR48" s="113">
        <f t="shared" si="26"/>
        <v>-0.2323225785758376</v>
      </c>
      <c r="AS48" s="113">
        <f t="shared" si="26"/>
        <v>-0.30617438949664721</v>
      </c>
      <c r="AT48" s="113">
        <f t="shared" si="26"/>
        <v>-0.3799710798582896</v>
      </c>
      <c r="AU48" s="113">
        <f t="shared" si="26"/>
        <v>-0.45371251047119965</v>
      </c>
      <c r="AV48" s="113">
        <f t="shared" si="26"/>
        <v>-0.5273984589757964</v>
      </c>
      <c r="AW48" s="113">
        <f t="shared" si="26"/>
        <v>-0.60102861817032116</v>
      </c>
      <c r="AX48" s="113">
        <f t="shared" si="26"/>
        <v>-0.674602593676083</v>
      </c>
      <c r="AY48" s="113">
        <f t="shared" si="26"/>
        <v>-0.74811990089821589</v>
      </c>
      <c r="AZ48" s="113">
        <f t="shared" si="26"/>
        <v>-0.8215799612263559</v>
      </c>
      <c r="BA48" s="113">
        <f t="shared" si="26"/>
        <v>-0.89498209740408552</v>
      </c>
      <c r="BB48" s="113">
        <f t="shared" si="26"/>
        <v>-0.968325527977977</v>
      </c>
      <c r="BC48" s="113">
        <f t="shared" si="26"/>
        <v>-1.0416093607158619</v>
      </c>
      <c r="BD48" s="113">
        <f t="shared" si="26"/>
        <v>-1.114832584858662</v>
      </c>
      <c r="BE48" s="113">
        <f t="shared" si="26"/>
        <v>-1.1879940620395595</v>
      </c>
      <c r="BF48" s="113">
        <f t="shared" si="26"/>
        <v>-1.2610925156669841</v>
      </c>
      <c r="BG48" s="113">
        <f t="shared" si="28"/>
        <v>-1.334126518521898</v>
      </c>
      <c r="BH48" s="113">
        <f t="shared" si="28"/>
        <v>-1.4070944782626276</v>
      </c>
      <c r="BI48" s="113">
        <f t="shared" si="28"/>
        <v>-1.4799946204586087</v>
      </c>
    </row>
    <row r="49" spans="1:61">
      <c r="A49" s="113">
        <f t="shared" si="20"/>
        <v>1.9049999999999965</v>
      </c>
      <c r="B49" s="110">
        <f t="shared" si="4"/>
        <v>0.66865945456402021</v>
      </c>
      <c r="C49" s="159">
        <f t="shared" si="25"/>
        <v>0.81985705840679002</v>
      </c>
      <c r="D49" s="113">
        <f t="shared" si="25"/>
        <v>1.3795262753785837E-2</v>
      </c>
      <c r="E49" s="113">
        <f t="shared" si="25"/>
        <v>3.9619528061445161E-3</v>
      </c>
      <c r="F49" s="113">
        <f t="shared" si="25"/>
        <v>2.4046061422158187E-2</v>
      </c>
      <c r="G49" s="113">
        <f t="shared" si="25"/>
        <v>4.9158180923634396E-3</v>
      </c>
      <c r="H49" s="113">
        <f t="shared" si="25"/>
        <v>1.9801982055393363E-3</v>
      </c>
      <c r="I49" s="113"/>
      <c r="J49" s="113"/>
      <c r="K49" s="113">
        <f t="shared" si="6"/>
        <v>0.88322597580857265</v>
      </c>
      <c r="L49" s="107">
        <f t="shared" si="7"/>
        <v>0.86855635168678125</v>
      </c>
      <c r="M49" s="111">
        <f t="shared" si="8"/>
        <v>0.88221933320034374</v>
      </c>
      <c r="N49" s="113">
        <f t="shared" si="9"/>
        <v>1.4669624121791397E-2</v>
      </c>
      <c r="O49" s="114">
        <f t="shared" si="10"/>
        <v>3.2982600037688177</v>
      </c>
      <c r="P49" s="111">
        <f t="shared" si="11"/>
        <v>3.0858847158952916</v>
      </c>
      <c r="Q49" s="111">
        <v>1.524280000000001</v>
      </c>
      <c r="R49" s="107">
        <f t="shared" si="12"/>
        <v>1.5696670401314585</v>
      </c>
      <c r="S49" s="115">
        <v>0.90058636363636357</v>
      </c>
      <c r="T49" s="107">
        <f t="shared" si="21"/>
        <v>5</v>
      </c>
      <c r="U49" s="111">
        <f t="shared" si="13"/>
        <v>3.2778631480384264</v>
      </c>
      <c r="V49" s="111">
        <f t="shared" si="14"/>
        <v>3.1778631480384263</v>
      </c>
      <c r="W49" s="111">
        <f t="shared" si="15"/>
        <v>3.0858847158952916</v>
      </c>
      <c r="X49" s="111">
        <f t="shared" si="16"/>
        <v>6.1367826766780107</v>
      </c>
      <c r="Y49" s="115">
        <v>1.5680000000000003</v>
      </c>
      <c r="Z49" s="115">
        <v>0.4593192019702228</v>
      </c>
      <c r="AA49" s="113">
        <f t="shared" si="27"/>
        <v>-1.0942081026767816E-2</v>
      </c>
      <c r="AB49" s="113">
        <f t="shared" si="27"/>
        <v>-8.4958580380083151E-2</v>
      </c>
      <c r="AC49" s="113">
        <f t="shared" si="27"/>
        <v>-0.15891944923619772</v>
      </c>
      <c r="AD49" s="113">
        <f t="shared" si="27"/>
        <v>6.3130240056041342E-2</v>
      </c>
      <c r="AE49" s="113">
        <f t="shared" si="27"/>
        <v>0.1372586602085154</v>
      </c>
      <c r="AF49" s="113">
        <f t="shared" si="27"/>
        <v>0.21144354501029045</v>
      </c>
      <c r="AG49" s="113">
        <f t="shared" si="27"/>
        <v>0.28568535112610538</v>
      </c>
      <c r="AH49" s="113">
        <f t="shared" si="27"/>
        <v>0.3599846299179511</v>
      </c>
      <c r="AI49" s="113">
        <f t="shared" si="27"/>
        <v>0.43434203189180814</v>
      </c>
      <c r="AJ49" s="113">
        <f t="shared" si="27"/>
        <v>0.50875831206502498</v>
      </c>
      <c r="AK49" s="113">
        <f t="shared" si="27"/>
        <v>0.58323433636144562</v>
      </c>
      <c r="AL49" s="113">
        <f t="shared" si="27"/>
        <v>0.65777108916643379</v>
      </c>
      <c r="AM49" s="113">
        <f t="shared" si="27"/>
        <v>0.73236968220409349</v>
      </c>
      <c r="AN49" s="113">
        <f t="shared" si="27"/>
        <v>0.80703136493573235</v>
      </c>
      <c r="AO49" s="113">
        <f t="shared" si="27"/>
        <v>0.88175753672383483</v>
      </c>
      <c r="AP49" s="113">
        <f t="shared" si="27"/>
        <v>0.95654976106201894</v>
      </c>
      <c r="AQ49" s="113">
        <f t="shared" si="26"/>
        <v>1.0314097822419508</v>
      </c>
      <c r="AR49" s="113">
        <f t="shared" si="26"/>
        <v>-0.23282479417567431</v>
      </c>
      <c r="AS49" s="113">
        <f t="shared" si="26"/>
        <v>-0.30667463793409111</v>
      </c>
      <c r="AT49" s="113">
        <f t="shared" si="26"/>
        <v>-0.38046891957368906</v>
      </c>
      <c r="AU49" s="113">
        <f t="shared" si="26"/>
        <v>-0.45420749402295468</v>
      </c>
      <c r="AV49" s="113">
        <f t="shared" si="26"/>
        <v>-0.52789013097599524</v>
      </c>
      <c r="AW49" s="113">
        <f t="shared" si="26"/>
        <v>-0.60151651313212562</v>
      </c>
      <c r="AX49" s="113">
        <f t="shared" si="26"/>
        <v>-0.67508623374402243</v>
      </c>
      <c r="AY49" s="113">
        <f t="shared" si="26"/>
        <v>-0.74859879342970104</v>
      </c>
      <c r="AZ49" s="113">
        <f t="shared" si="26"/>
        <v>-0.82205359618897655</v>
      </c>
      <c r="BA49" s="113">
        <f t="shared" si="26"/>
        <v>-0.89544994454846716</v>
      </c>
      <c r="BB49" s="113">
        <f t="shared" si="26"/>
        <v>-0.96878703373990604</v>
      </c>
      <c r="BC49" s="113">
        <f t="shared" si="26"/>
        <v>-1.0420639447937847</v>
      </c>
      <c r="BD49" s="113">
        <f t="shared" si="26"/>
        <v>-1.1152796364031365</v>
      </c>
      <c r="BE49" s="113">
        <f t="shared" si="26"/>
        <v>-1.1884329353793079</v>
      </c>
      <c r="BF49" s="113">
        <f t="shared" si="26"/>
        <v>-1.2615225254812275</v>
      </c>
      <c r="BG49" s="113">
        <f t="shared" si="28"/>
        <v>-1.3345469343497891</v>
      </c>
      <c r="BH49" s="113">
        <f t="shared" si="28"/>
        <v>-1.407504518216721</v>
      </c>
      <c r="BI49" s="113">
        <f t="shared" si="28"/>
        <v>-1.4803934439788822</v>
      </c>
    </row>
    <row r="50" spans="1:61">
      <c r="A50" s="113">
        <f t="shared" si="20"/>
        <v>1.9199999999999964</v>
      </c>
      <c r="B50" s="110">
        <f t="shared" si="4"/>
        <v>0.67392448963932738</v>
      </c>
      <c r="C50" s="159">
        <f t="shared" si="25"/>
        <v>0.814296772761261</v>
      </c>
      <c r="D50" s="113">
        <f t="shared" si="25"/>
        <v>1.4790079483459478E-2</v>
      </c>
      <c r="E50" s="113">
        <f t="shared" si="25"/>
        <v>4.2690100078148071E-3</v>
      </c>
      <c r="F50" s="113">
        <f t="shared" si="25"/>
        <v>2.6553897524327543E-2</v>
      </c>
      <c r="G50" s="113">
        <f t="shared" si="25"/>
        <v>5.3914509178957393E-3</v>
      </c>
      <c r="H50" s="113">
        <f t="shared" si="25"/>
        <v>2.1710907141561722E-3</v>
      </c>
      <c r="I50" s="113"/>
      <c r="J50" s="113"/>
      <c r="K50" s="113">
        <f t="shared" si="6"/>
        <v>0.88212886876651386</v>
      </c>
      <c r="L50" s="107">
        <f t="shared" si="7"/>
        <v>0.86747230140891474</v>
      </c>
      <c r="M50" s="111">
        <f t="shared" si="8"/>
        <v>0.88222637098100798</v>
      </c>
      <c r="N50" s="113">
        <f t="shared" si="9"/>
        <v>1.4656567357599147E-2</v>
      </c>
      <c r="O50" s="114">
        <f t="shared" si="10"/>
        <v>3.2724923474893739</v>
      </c>
      <c r="P50" s="111">
        <f t="shared" si="11"/>
        <v>3.0859653956451223</v>
      </c>
      <c r="Q50" s="111">
        <v>1.524280000000001</v>
      </c>
      <c r="R50" s="107">
        <f t="shared" si="12"/>
        <v>1.5696260423071589</v>
      </c>
      <c r="S50" s="115">
        <v>0.90058636363636357</v>
      </c>
      <c r="T50" s="107">
        <f t="shared" si="21"/>
        <v>5</v>
      </c>
      <c r="U50" s="111">
        <f t="shared" si="13"/>
        <v>3.2778631480384264</v>
      </c>
      <c r="V50" s="111">
        <f t="shared" si="14"/>
        <v>3.1778631480384263</v>
      </c>
      <c r="W50" s="111">
        <f t="shared" si="15"/>
        <v>3.0859653956451223</v>
      </c>
      <c r="X50" s="111">
        <f t="shared" si="16"/>
        <v>6.1469480008243798</v>
      </c>
      <c r="Y50" s="115">
        <v>1.5680000000000003</v>
      </c>
      <c r="Z50" s="115">
        <v>0.4593192019702228</v>
      </c>
      <c r="AA50" s="113">
        <f t="shared" si="27"/>
        <v>-1.1439570081750998E-2</v>
      </c>
      <c r="AB50" s="113">
        <f t="shared" si="27"/>
        <v>-8.5455411558958722E-2</v>
      </c>
      <c r="AC50" s="113">
        <f t="shared" si="27"/>
        <v>-0.15941518674114968</v>
      </c>
      <c r="AD50" s="113">
        <f t="shared" si="27"/>
        <v>6.2632530926114108E-2</v>
      </c>
      <c r="AE50" s="113">
        <f t="shared" si="27"/>
        <v>0.13676117284567918</v>
      </c>
      <c r="AF50" s="113">
        <f t="shared" si="27"/>
        <v>0.21094672740022688</v>
      </c>
      <c r="AG50" s="113">
        <f t="shared" si="27"/>
        <v>0.28518965959478426</v>
      </c>
      <c r="AH50" s="113">
        <f t="shared" si="27"/>
        <v>0.35949053145334992</v>
      </c>
      <c r="AI50" s="113">
        <f t="shared" si="27"/>
        <v>0.43385000662542028</v>
      </c>
      <c r="AJ50" s="113">
        <f t="shared" si="27"/>
        <v>0.50826885595242832</v>
      </c>
      <c r="AK50" s="113">
        <f t="shared" si="27"/>
        <v>0.58274796410704632</v>
      </c>
      <c r="AL50" s="113">
        <f t="shared" si="27"/>
        <v>0.65728833744491255</v>
      </c>
      <c r="AM50" s="113">
        <f t="shared" si="27"/>
        <v>0.7318911132404462</v>
      </c>
      <c r="AN50" s="113">
        <f t="shared" si="27"/>
        <v>0.80655757051761945</v>
      </c>
      <c r="AO50" s="113">
        <f t="shared" si="27"/>
        <v>0.88128914273490755</v>
      </c>
      <c r="AP50" s="113">
        <f t="shared" si="27"/>
        <v>0.9560874326438723</v>
      </c>
      <c r="AQ50" s="113">
        <f t="shared" si="26"/>
        <v>1.0309542297165684</v>
      </c>
      <c r="AR50" s="113">
        <f t="shared" si="26"/>
        <v>-0.23331900221315865</v>
      </c>
      <c r="AS50" s="113">
        <f t="shared" si="26"/>
        <v>-0.30716687872851467</v>
      </c>
      <c r="AT50" s="113">
        <f t="shared" si="26"/>
        <v>-0.38095875136860502</v>
      </c>
      <c r="AU50" s="113">
        <f t="shared" si="26"/>
        <v>-0.45469446904435962</v>
      </c>
      <c r="AV50" s="113">
        <f t="shared" si="26"/>
        <v>-0.52837379333150281</v>
      </c>
      <c r="AW50" s="113">
        <f t="shared" si="26"/>
        <v>-0.60199639661831283</v>
      </c>
      <c r="AX50" s="113">
        <f t="shared" si="26"/>
        <v>-0.67556185953204295</v>
      </c>
      <c r="AY50" s="113">
        <f t="shared" si="26"/>
        <v>-0.74906966759624083</v>
      </c>
      <c r="AZ50" s="113">
        <f t="shared" si="26"/>
        <v>-0.82251920705566794</v>
      </c>
      <c r="BA50" s="113">
        <f t="shared" si="26"/>
        <v>-0.89590975978779552</v>
      </c>
      <c r="BB50" s="113">
        <f t="shared" si="26"/>
        <v>-0.96924049719922145</v>
      </c>
      <c r="BC50" s="113">
        <f t="shared" si="26"/>
        <v>-1.0425104729809482</v>
      </c>
      <c r="BD50" s="113">
        <f t="shared" si="26"/>
        <v>-1.1157186145671985</v>
      </c>
      <c r="BE50" s="113">
        <f t="shared" si="26"/>
        <v>-1.188863713106906</v>
      </c>
      <c r="BF50" s="113">
        <f t="shared" si="26"/>
        <v>-1.2619444117133949</v>
      </c>
      <c r="BG50" s="113">
        <f t="shared" si="28"/>
        <v>-1.3349591917036772</v>
      </c>
      <c r="BH50" s="113">
        <f t="shared" si="28"/>
        <v>-1.4079063564710987</v>
      </c>
      <c r="BI50" s="113">
        <f t="shared" si="28"/>
        <v>-1.4807840125495373</v>
      </c>
    </row>
    <row r="51" spans="1:61">
      <c r="A51" s="113">
        <f t="shared" si="20"/>
        <v>1.9349999999999963</v>
      </c>
      <c r="B51" s="110">
        <f t="shared" si="4"/>
        <v>0.67918952471463467</v>
      </c>
      <c r="C51" s="159">
        <f t="shared" si="25"/>
        <v>0.80861384965725436</v>
      </c>
      <c r="D51" s="113">
        <f t="shared" si="25"/>
        <v>1.5778028739712426E-2</v>
      </c>
      <c r="E51" s="113">
        <f t="shared" si="25"/>
        <v>4.5766331937676947E-3</v>
      </c>
      <c r="F51" s="113">
        <f t="shared" si="25"/>
        <v>2.9161425824224714E-2</v>
      </c>
      <c r="G51" s="113">
        <f t="shared" si="25"/>
        <v>5.879746557258707E-3</v>
      </c>
      <c r="H51" s="113">
        <f t="shared" si="25"/>
        <v>2.3665183533390713E-3</v>
      </c>
      <c r="I51" s="113"/>
      <c r="J51" s="113"/>
      <c r="K51" s="113">
        <f t="shared" si="6"/>
        <v>0.88102001007474795</v>
      </c>
      <c r="L51" s="107">
        <f t="shared" si="7"/>
        <v>0.86637620232555712</v>
      </c>
      <c r="M51" s="111">
        <f t="shared" si="8"/>
        <v>0.88223324857302476</v>
      </c>
      <c r="N51" s="113">
        <f t="shared" si="9"/>
        <v>1.4643807749190838E-2</v>
      </c>
      <c r="O51" s="114">
        <f t="shared" si="10"/>
        <v>3.2471241897568985</v>
      </c>
      <c r="P51" s="111">
        <f t="shared" si="11"/>
        <v>3.0860442412357538</v>
      </c>
      <c r="Q51" s="111">
        <v>1.524280000000001</v>
      </c>
      <c r="R51" s="107">
        <f t="shared" si="12"/>
        <v>1.5695859785922683</v>
      </c>
      <c r="S51" s="115">
        <v>0.90058636363636357</v>
      </c>
      <c r="T51" s="107">
        <f t="shared" si="21"/>
        <v>5</v>
      </c>
      <c r="U51" s="111">
        <f t="shared" si="13"/>
        <v>3.2778631480384264</v>
      </c>
      <c r="V51" s="111">
        <f t="shared" si="14"/>
        <v>3.1778631480384263</v>
      </c>
      <c r="W51" s="111">
        <f t="shared" si="15"/>
        <v>3.0860442412357538</v>
      </c>
      <c r="X51" s="111">
        <f t="shared" si="16"/>
        <v>6.1571135192094513</v>
      </c>
      <c r="Y51" s="115">
        <v>1.5680000000000003</v>
      </c>
      <c r="Z51" s="115">
        <v>0.4593192019702228</v>
      </c>
      <c r="AA51" s="113">
        <f t="shared" si="27"/>
        <v>-1.1929240893512071E-2</v>
      </c>
      <c r="AB51" s="113">
        <f t="shared" si="27"/>
        <v>-8.5944424520783685E-2</v>
      </c>
      <c r="AC51" s="113">
        <f t="shared" si="27"/>
        <v>-0.15990310606803715</v>
      </c>
      <c r="AD51" s="113">
        <f t="shared" si="27"/>
        <v>6.2142640044677393E-2</v>
      </c>
      <c r="AE51" s="113">
        <f t="shared" si="27"/>
        <v>0.13627150373935767</v>
      </c>
      <c r="AF51" s="113">
        <f t="shared" si="27"/>
        <v>0.21045772811430685</v>
      </c>
      <c r="AG51" s="113">
        <f t="shared" si="27"/>
        <v>0.28470178660723294</v>
      </c>
      <c r="AH51" s="113">
        <f t="shared" si="27"/>
        <v>0.35900425203545266</v>
      </c>
      <c r="AI51" s="113">
        <f t="shared" si="27"/>
        <v>0.43336580136674996</v>
      </c>
      <c r="AJ51" s="113">
        <f t="shared" si="27"/>
        <v>0.50778722149079669</v>
      </c>
      <c r="AK51" s="113">
        <f t="shared" si="27"/>
        <v>0.58226941611020477</v>
      </c>
      <c r="AL51" s="113">
        <f t="shared" si="27"/>
        <v>0.65681341389854131</v>
      </c>
      <c r="AM51" s="113">
        <f t="shared" si="27"/>
        <v>0.73142037810681204</v>
      </c>
      <c r="AN51" s="113">
        <f t="shared" si="27"/>
        <v>0.80609161784172512</v>
      </c>
      <c r="AO51" s="113">
        <f t="shared" si="27"/>
        <v>0.88082860129072726</v>
      </c>
      <c r="AP51" s="113">
        <f t="shared" si="27"/>
        <v>0.95563297123333046</v>
      </c>
      <c r="AQ51" s="113">
        <f t="shared" si="26"/>
        <v>1.0305065632595758</v>
      </c>
      <c r="AR51" s="113">
        <f t="shared" si="26"/>
        <v>-0.23380539208514425</v>
      </c>
      <c r="AS51" s="113">
        <f t="shared" si="26"/>
        <v>-0.30765130127299856</v>
      </c>
      <c r="AT51" s="113">
        <f t="shared" si="26"/>
        <v>-0.38144076462919002</v>
      </c>
      <c r="AU51" s="113">
        <f t="shared" si="26"/>
        <v>-0.45517362490996072</v>
      </c>
      <c r="AV51" s="113">
        <f t="shared" si="26"/>
        <v>-0.52884963539861962</v>
      </c>
      <c r="AW51" s="113">
        <f t="shared" si="26"/>
        <v>-0.60246845795779069</v>
      </c>
      <c r="AX51" s="113">
        <f t="shared" si="26"/>
        <v>-0.67602966032931544</v>
      </c>
      <c r="AY51" s="113">
        <f t="shared" si="26"/>
        <v>-0.74953271263085397</v>
      </c>
      <c r="AZ51" s="113">
        <f t="shared" si="26"/>
        <v>-0.82297698298169686</v>
      </c>
      <c r="BA51" s="113">
        <f t="shared" si="26"/>
        <v>-0.89636173217138582</v>
      </c>
      <c r="BB51" s="113">
        <f t="shared" si="26"/>
        <v>-0.9696861072626749</v>
      </c>
      <c r="BC51" s="113">
        <f t="shared" si="26"/>
        <v>-1.0429491339941979</v>
      </c>
      <c r="BD51" s="113">
        <f t="shared" si="26"/>
        <v>-1.1161497078167404</v>
      </c>
      <c r="BE51" s="113">
        <f t="shared" si="26"/>
        <v>-1.1892865833587103</v>
      </c>
      <c r="BF51" s="113">
        <f t="shared" si="26"/>
        <v>-1.2623583620692445</v>
      </c>
      <c r="BG51" s="113">
        <f t="shared" si="28"/>
        <v>-1.3353634777287628</v>
      </c>
      <c r="BH51" s="113">
        <f t="shared" si="28"/>
        <v>-1.4083001794431935</v>
      </c>
      <c r="BI51" s="113">
        <f t="shared" si="28"/>
        <v>-1.4811665116448216</v>
      </c>
    </row>
    <row r="52" spans="1:61" ht="14" thickBot="1">
      <c r="A52" s="113">
        <f t="shared" si="20"/>
        <v>1.9499999999999962</v>
      </c>
      <c r="B52" s="110">
        <f t="shared" si="4"/>
        <v>0.68445455978994196</v>
      </c>
      <c r="C52" s="160">
        <f t="shared" si="25"/>
        <v>0.80281978073855187</v>
      </c>
      <c r="D52" s="113">
        <f t="shared" si="25"/>
        <v>1.6756668245059156E-2</v>
      </c>
      <c r="E52" s="113">
        <f t="shared" si="25"/>
        <v>4.8840143815977169E-3</v>
      </c>
      <c r="F52" s="113">
        <f t="shared" si="25"/>
        <v>3.1864870164027219E-2</v>
      </c>
      <c r="G52" s="113">
        <f t="shared" si="25"/>
        <v>6.3795639179720174E-3</v>
      </c>
      <c r="H52" s="113">
        <f t="shared" si="25"/>
        <v>2.5659821138583803E-3</v>
      </c>
      <c r="I52" s="113"/>
      <c r="J52" s="113"/>
      <c r="K52" s="113">
        <f t="shared" si="6"/>
        <v>0.8799022159504134</v>
      </c>
      <c r="L52" s="107">
        <f t="shared" si="7"/>
        <v>0.8652708795610663</v>
      </c>
      <c r="M52" s="111">
        <f t="shared" si="8"/>
        <v>0.88223997077868876</v>
      </c>
      <c r="N52" s="113">
        <f t="shared" si="9"/>
        <v>1.4631336389347077E-2</v>
      </c>
      <c r="O52" s="114">
        <f t="shared" si="10"/>
        <v>3.2221463113741531</v>
      </c>
      <c r="P52" s="111">
        <f t="shared" si="11"/>
        <v>3.0861213075708371</v>
      </c>
      <c r="Q52" s="111">
        <v>1.524280000000001</v>
      </c>
      <c r="R52" s="107">
        <f t="shared" si="12"/>
        <v>1.5695468209476706</v>
      </c>
      <c r="S52" s="115">
        <v>0.90058636363636357</v>
      </c>
      <c r="T52" s="107">
        <f t="shared" si="21"/>
        <v>5</v>
      </c>
      <c r="U52" s="111">
        <f t="shared" si="13"/>
        <v>3.2778631480384264</v>
      </c>
      <c r="V52" s="111">
        <f t="shared" si="14"/>
        <v>3.1778631480384263</v>
      </c>
      <c r="W52" s="111">
        <f t="shared" si="15"/>
        <v>3.0861213075708371</v>
      </c>
      <c r="X52" s="111">
        <f t="shared" si="16"/>
        <v>6.1672792321643719</v>
      </c>
      <c r="Y52" s="115">
        <v>1.5680000000000003</v>
      </c>
      <c r="Z52" s="115">
        <v>0.4593192019702228</v>
      </c>
      <c r="AA52" s="113">
        <f t="shared" si="27"/>
        <v>-1.2411276916197665E-2</v>
      </c>
      <c r="AB52" s="113">
        <f t="shared" si="27"/>
        <v>-8.6425802719549083E-2</v>
      </c>
      <c r="AC52" s="113">
        <f t="shared" si="27"/>
        <v>-0.16038339067018487</v>
      </c>
      <c r="AD52" s="113">
        <f t="shared" si="27"/>
        <v>6.1660383957574068E-2</v>
      </c>
      <c r="AE52" s="113">
        <f t="shared" si="27"/>
        <v>0.13578946943540476</v>
      </c>
      <c r="AF52" s="113">
        <f t="shared" si="27"/>
        <v>0.20997636369855499</v>
      </c>
      <c r="AG52" s="113">
        <f t="shared" si="27"/>
        <v>0.28422154871024785</v>
      </c>
      <c r="AH52" s="113">
        <f t="shared" si="27"/>
        <v>0.35852560821323837</v>
      </c>
      <c r="AI52" s="113">
        <f t="shared" si="27"/>
        <v>0.43288923266964607</v>
      </c>
      <c r="AJ52" s="113">
        <f t="shared" si="27"/>
        <v>0.50731322524341482</v>
      </c>
      <c r="AK52" s="113">
        <f t="shared" si="27"/>
        <v>0.58179850895087182</v>
      </c>
      <c r="AL52" s="113">
        <f t="shared" si="27"/>
        <v>0.65634613513486917</v>
      </c>
      <c r="AM52" s="113">
        <f t="shared" si="27"/>
        <v>0.73095729345434424</v>
      </c>
      <c r="AN52" s="113">
        <f t="shared" si="27"/>
        <v>0.80563332362570717</v>
      </c>
      <c r="AO52" s="113">
        <f t="shared" si="27"/>
        <v>0.88037572920767548</v>
      </c>
      <c r="AP52" s="113">
        <f t="shared" si="27"/>
        <v>0.95518619379027581</v>
      </c>
      <c r="AQ52" s="113">
        <f t="shared" si="26"/>
        <v>1.0300666000360312</v>
      </c>
      <c r="AR52" s="113">
        <f t="shared" si="26"/>
        <v>-0.23428414724317065</v>
      </c>
      <c r="AS52" s="113">
        <f t="shared" si="26"/>
        <v>-0.3081280890153083</v>
      </c>
      <c r="AT52" s="113">
        <f t="shared" si="26"/>
        <v>-0.38191514279627758</v>
      </c>
      <c r="AU52" s="113">
        <f t="shared" si="26"/>
        <v>-0.45564514504897241</v>
      </c>
      <c r="AV52" s="113">
        <f t="shared" si="26"/>
        <v>-0.52931784058828368</v>
      </c>
      <c r="AW52" s="113">
        <f t="shared" si="26"/>
        <v>-0.60293288053403882</v>
      </c>
      <c r="AX52" s="113">
        <f t="shared" si="26"/>
        <v>-0.67648981947945441</v>
      </c>
      <c r="AY52" s="113">
        <f t="shared" si="26"/>
        <v>-0.7499881118207703</v>
      </c>
      <c r="AZ52" s="113">
        <f t="shared" si="26"/>
        <v>-0.82342710717614198</v>
      </c>
      <c r="BA52" s="113">
        <f t="shared" si="26"/>
        <v>-0.89680604480170345</v>
      </c>
      <c r="BB52" s="113">
        <f t="shared" si="26"/>
        <v>-0.97012404688910814</v>
      </c>
      <c r="BC52" s="113">
        <f t="shared" si="26"/>
        <v>-1.0433801106008145</v>
      </c>
      <c r="BD52" s="113">
        <f t="shared" si="26"/>
        <v>-1.1165730986655586</v>
      </c>
      <c r="BE52" s="113">
        <f t="shared" si="26"/>
        <v>-1.1897017283151792</v>
      </c>
      <c r="BF52" s="113">
        <f t="shared" si="26"/>
        <v>-1.2627645582930001</v>
      </c>
      <c r="BG52" s="113">
        <f t="shared" si="28"/>
        <v>-1.335759973600454</v>
      </c>
      <c r="BH52" s="113">
        <f t="shared" si="28"/>
        <v>-1.4086861675686457</v>
      </c>
      <c r="BI52" s="113">
        <f t="shared" si="28"/>
        <v>-1.4815411207398821</v>
      </c>
    </row>
    <row r="53" spans="1:61">
      <c r="A53" s="113">
        <f t="shared" si="20"/>
        <v>1.9649999999999961</v>
      </c>
      <c r="B53" s="110">
        <f t="shared" si="4"/>
        <v>0.68971959486524903</v>
      </c>
      <c r="C53" s="113">
        <f t="shared" si="25"/>
        <v>0.79692544265597554</v>
      </c>
      <c r="D53" s="113">
        <f t="shared" si="25"/>
        <v>1.77238368956509E-2</v>
      </c>
      <c r="E53" s="113">
        <f t="shared" si="25"/>
        <v>5.1904169462976138E-3</v>
      </c>
      <c r="F53" s="113">
        <f t="shared" si="25"/>
        <v>3.466047438218204E-2</v>
      </c>
      <c r="G53" s="113">
        <f t="shared" si="25"/>
        <v>6.8898010060689961E-3</v>
      </c>
      <c r="H53" s="113">
        <f t="shared" si="25"/>
        <v>2.7690041120098097E-3</v>
      </c>
      <c r="I53" s="113"/>
      <c r="J53" s="113"/>
      <c r="K53" s="113">
        <f t="shared" si="6"/>
        <v>0.87877812069866446</v>
      </c>
      <c r="L53" s="107">
        <f t="shared" si="7"/>
        <v>0.86415897599818492</v>
      </c>
      <c r="M53" s="111">
        <f t="shared" si="8"/>
        <v>0.88224654222254639</v>
      </c>
      <c r="N53" s="113">
        <f t="shared" si="9"/>
        <v>1.4619144700479541E-2</v>
      </c>
      <c r="O53" s="114">
        <f t="shared" si="10"/>
        <v>3.1975497746461063</v>
      </c>
      <c r="P53" s="111">
        <f t="shared" si="11"/>
        <v>3.0861966475255338</v>
      </c>
      <c r="Q53" s="111">
        <v>1.524280000000001</v>
      </c>
      <c r="R53" s="107">
        <f t="shared" si="12"/>
        <v>1.569508542373647</v>
      </c>
      <c r="S53" s="115">
        <v>0.90058636363636357</v>
      </c>
      <c r="T53" s="107">
        <f t="shared" si="21"/>
        <v>5</v>
      </c>
      <c r="U53" s="111">
        <f t="shared" si="13"/>
        <v>3.2778631480384264</v>
      </c>
      <c r="V53" s="111">
        <f t="shared" si="14"/>
        <v>3.1778631480384263</v>
      </c>
      <c r="W53" s="111">
        <f t="shared" si="15"/>
        <v>3.0861966475255338</v>
      </c>
      <c r="X53" s="111">
        <f t="shared" si="16"/>
        <v>6.1774451400203514</v>
      </c>
      <c r="Y53" s="115">
        <v>1.5680000000000003</v>
      </c>
      <c r="Z53" s="115">
        <v>0.4593192019702228</v>
      </c>
      <c r="AA53" s="113">
        <f t="shared" si="27"/>
        <v>-1.2885855890725988E-2</v>
      </c>
      <c r="AB53" s="113">
        <f t="shared" si="27"/>
        <v>-8.6899723896017647E-2</v>
      </c>
      <c r="AC53" s="113">
        <f t="shared" si="27"/>
        <v>-0.16085621828768934</v>
      </c>
      <c r="AD53" s="113">
        <f t="shared" si="27"/>
        <v>6.1185584923875352E-2</v>
      </c>
      <c r="AE53" s="113">
        <f t="shared" si="27"/>
        <v>0.13531489219290274</v>
      </c>
      <c r="AF53" s="113">
        <f t="shared" si="27"/>
        <v>0.20950245641222454</v>
      </c>
      <c r="AG53" s="113">
        <f t="shared" si="27"/>
        <v>0.28374876816385453</v>
      </c>
      <c r="AH53" s="113">
        <f t="shared" si="27"/>
        <v>0.35805442224891865</v>
      </c>
      <c r="AI53" s="113">
        <f t="shared" si="27"/>
        <v>0.43242012280120096</v>
      </c>
      <c r="AJ53" s="113">
        <f t="shared" si="27"/>
        <v>0.50684668948683786</v>
      </c>
      <c r="AK53" s="113">
        <f t="shared" si="27"/>
        <v>0.58133506492233178</v>
      </c>
      <c r="AL53" s="113">
        <f t="shared" si="27"/>
        <v>0.65588632347490949</v>
      </c>
      <c r="AM53" s="113">
        <f t="shared" si="27"/>
        <v>0.73050168164791185</v>
      </c>
      <c r="AN53" s="113">
        <f t="shared" si="27"/>
        <v>0.80518251030139798</v>
      </c>
      <c r="AO53" s="113">
        <f t="shared" si="27"/>
        <v>0.87993034901711209</v>
      </c>
      <c r="AP53" s="113">
        <f t="shared" si="27"/>
        <v>0.95474692299092845</v>
      </c>
      <c r="AQ53" s="113">
        <f t="shared" si="26"/>
        <v>1.0296341629295709</v>
      </c>
      <c r="AR53" s="113">
        <f t="shared" si="26"/>
        <v>-0.2347554454255491</v>
      </c>
      <c r="AS53" s="113">
        <f t="shared" si="26"/>
        <v>-0.30859741968998039</v>
      </c>
      <c r="AT53" s="113">
        <f t="shared" si="26"/>
        <v>-0.38238206359746774</v>
      </c>
      <c r="AU53" s="113">
        <f t="shared" si="26"/>
        <v>-0.45610920717736303</v>
      </c>
      <c r="AV53" s="113">
        <f t="shared" si="26"/>
        <v>-0.52977858659815513</v>
      </c>
      <c r="AW53" s="113">
        <f t="shared" si="26"/>
        <v>-0.6033898420171917</v>
      </c>
      <c r="AX53" s="113">
        <f t="shared" si="26"/>
        <v>-0.67694251461260013</v>
      </c>
      <c r="AY53" s="113">
        <f t="shared" si="26"/>
        <v>-0.75043604273950948</v>
      </c>
      <c r="AZ53" s="113">
        <f t="shared" si="26"/>
        <v>-0.82386975713396537</v>
      </c>
      <c r="BA53" s="113">
        <f t="shared" si="26"/>
        <v>-0.89724287506642497</v>
      </c>
      <c r="BB53" s="113">
        <f t="shared" si="26"/>
        <v>-0.97055449332149557</v>
      </c>
      <c r="BC53" s="113">
        <f t="shared" si="26"/>
        <v>-1.0438035798505261</v>
      </c>
      <c r="BD53" s="113">
        <f t="shared" si="26"/>
        <v>-1.1169889639073187</v>
      </c>
      <c r="BE53" s="113">
        <f t="shared" si="26"/>
        <v>-1.1901093244327583</v>
      </c>
      <c r="BF53" s="113">
        <f t="shared" si="26"/>
        <v>-1.2631631763991125</v>
      </c>
      <c r="BG53" s="113">
        <f t="shared" si="28"/>
        <v>-1.3361488547559288</v>
      </c>
      <c r="BH53" s="113">
        <f t="shared" si="28"/>
        <v>-1.4090644955325622</v>
      </c>
      <c r="BI53" s="113">
        <f t="shared" si="28"/>
        <v>-1.4819080135415474</v>
      </c>
    </row>
    <row r="54" spans="1:61" ht="14" thickBot="1">
      <c r="A54" s="111"/>
      <c r="B54" s="110"/>
      <c r="C54" s="110"/>
      <c r="F54" s="115"/>
      <c r="G54" s="111"/>
      <c r="J54" s="111"/>
      <c r="K54" s="111"/>
      <c r="N54" s="111"/>
      <c r="P54" s="110"/>
      <c r="S54" s="118"/>
      <c r="T54" s="118"/>
      <c r="U54" s="118"/>
      <c r="V54" s="118"/>
      <c r="W54" s="118"/>
      <c r="X54" s="118"/>
      <c r="Y54" s="118"/>
      <c r="Z54" s="118"/>
      <c r="AD54" s="111"/>
      <c r="AE54" s="111"/>
      <c r="AF54" s="111"/>
      <c r="AG54" s="111"/>
    </row>
    <row r="55" spans="1:61" ht="14" thickBot="1">
      <c r="A55" s="111" t="s">
        <v>3</v>
      </c>
      <c r="B55" s="111">
        <f>C55*((C55+F55)/D55)</f>
        <v>149.04647342515091</v>
      </c>
      <c r="C55" s="167">
        <f>AVERAGE(C12:C52)</f>
        <v>0.84890490837624311</v>
      </c>
      <c r="D55" s="111">
        <f t="shared" ref="D55:H55" si="29">AVERAGE(D21:D49)</f>
        <v>4.8722097829784188E-3</v>
      </c>
      <c r="E55" s="111">
        <f t="shared" si="29"/>
        <v>1.3044497446244242E-3</v>
      </c>
      <c r="F55" s="111">
        <f t="shared" si="29"/>
        <v>6.533290620010599E-3</v>
      </c>
      <c r="G55" s="111">
        <f t="shared" si="29"/>
        <v>1.4372116825339394E-3</v>
      </c>
      <c r="H55" s="111">
        <f t="shared" si="29"/>
        <v>5.993273676895203E-4</v>
      </c>
      <c r="I55" s="111"/>
      <c r="J55" s="111"/>
      <c r="K55" s="111">
        <f t="shared" ref="K55:S55" si="30">AVERAGE(K21:K49)</f>
        <v>0.89216113345776815</v>
      </c>
      <c r="L55" s="111">
        <f t="shared" si="30"/>
        <v>0.87782629672604273</v>
      </c>
      <c r="M55" s="111">
        <f t="shared" si="30"/>
        <v>0.88209153784986005</v>
      </c>
      <c r="N55" s="111">
        <f t="shared" si="30"/>
        <v>1.4334836731725321E-2</v>
      </c>
      <c r="O55" s="111">
        <f t="shared" si="30"/>
        <v>3.7274178583645856</v>
      </c>
      <c r="P55" s="111">
        <f t="shared" si="30"/>
        <v>3.0843087030497349</v>
      </c>
      <c r="Q55" s="111">
        <f t="shared" si="30"/>
        <v>1.5260273517241396</v>
      </c>
      <c r="R55" s="111">
        <f t="shared" si="30"/>
        <v>1.5704117419614785</v>
      </c>
      <c r="S55" s="111">
        <f t="shared" si="30"/>
        <v>0.90085125391849563</v>
      </c>
      <c r="T55" s="118"/>
      <c r="U55" s="118"/>
      <c r="V55" s="118"/>
      <c r="W55" s="118"/>
      <c r="X55" s="118"/>
      <c r="Y55" s="118"/>
      <c r="Z55" s="118">
        <v>0.67174915495668275</v>
      </c>
      <c r="AB55" s="110"/>
      <c r="AC55" s="110"/>
      <c r="AD55" s="110"/>
      <c r="AE55" s="110"/>
      <c r="AF55" s="110" t="s">
        <v>149</v>
      </c>
      <c r="AG55" s="110"/>
      <c r="AH55" s="110"/>
    </row>
    <row r="56" spans="1:61">
      <c r="A56" s="111"/>
      <c r="B56" s="110" t="s">
        <v>150</v>
      </c>
      <c r="C56" s="110">
        <f>C55/SUM(C55:H55)</f>
        <v>0.98292541500047526</v>
      </c>
      <c r="F56" s="111"/>
      <c r="H56" s="111"/>
      <c r="I56" s="111"/>
      <c r="J56" s="111"/>
      <c r="L56" s="111"/>
      <c r="M56" s="119"/>
      <c r="N56" s="119"/>
      <c r="P56" s="110"/>
      <c r="R56" s="120"/>
      <c r="S56" s="121"/>
      <c r="T56" s="121"/>
      <c r="U56" s="121"/>
      <c r="V56" s="121"/>
      <c r="W56" s="121"/>
      <c r="X56" s="121"/>
      <c r="Y56" s="121"/>
      <c r="Z56" s="121"/>
      <c r="AD56" s="111"/>
      <c r="AE56" s="111"/>
      <c r="AF56" s="111" t="s">
        <v>197</v>
      </c>
      <c r="AG56" s="111"/>
      <c r="AH56" s="112" t="str">
        <f t="shared" ref="AH56:BI56" si="31">"E"&amp;AH$10</f>
        <v>E4</v>
      </c>
      <c r="AI56" s="112" t="str">
        <f t="shared" si="31"/>
        <v>E5</v>
      </c>
      <c r="AJ56" s="112" t="str">
        <f t="shared" si="31"/>
        <v>E6</v>
      </c>
      <c r="AK56" s="112" t="str">
        <f t="shared" si="31"/>
        <v>E7</v>
      </c>
      <c r="AL56" s="112" t="str">
        <f t="shared" si="31"/>
        <v>E8</v>
      </c>
      <c r="AM56" s="112" t="str">
        <f t="shared" si="31"/>
        <v>E9</v>
      </c>
      <c r="AN56" s="112" t="str">
        <f t="shared" si="31"/>
        <v>E10</v>
      </c>
      <c r="AO56" s="112" t="str">
        <f t="shared" si="31"/>
        <v>E11</v>
      </c>
      <c r="AP56" s="112" t="str">
        <f t="shared" si="31"/>
        <v>E12</v>
      </c>
      <c r="AQ56" s="112" t="str">
        <f t="shared" si="31"/>
        <v>E13</v>
      </c>
      <c r="AR56" s="112" t="str">
        <f t="shared" si="31"/>
        <v>E-4</v>
      </c>
      <c r="AS56" s="112" t="str">
        <f t="shared" si="31"/>
        <v>E-5</v>
      </c>
      <c r="AT56" s="112" t="str">
        <f t="shared" si="31"/>
        <v>E-6</v>
      </c>
      <c r="AU56" s="112" t="str">
        <f t="shared" si="31"/>
        <v>E-7</v>
      </c>
      <c r="AV56" s="112" t="str">
        <f t="shared" si="31"/>
        <v>E-8</v>
      </c>
      <c r="AW56" s="112" t="str">
        <f t="shared" si="31"/>
        <v>E-9</v>
      </c>
      <c r="AX56" s="112" t="str">
        <f t="shared" si="31"/>
        <v>E-10</v>
      </c>
      <c r="AY56" s="112" t="str">
        <f t="shared" si="31"/>
        <v>E-11</v>
      </c>
      <c r="AZ56" s="112" t="str">
        <f t="shared" si="31"/>
        <v>E-12</v>
      </c>
      <c r="BA56" s="112" t="str">
        <f t="shared" si="31"/>
        <v>E-13</v>
      </c>
      <c r="BB56" s="112" t="str">
        <f t="shared" si="31"/>
        <v>E-14</v>
      </c>
      <c r="BC56" s="112" t="str">
        <f t="shared" si="31"/>
        <v>E-15</v>
      </c>
      <c r="BD56" s="112" t="str">
        <f t="shared" si="31"/>
        <v>E-16</v>
      </c>
      <c r="BE56" s="112" t="str">
        <f t="shared" si="31"/>
        <v>E-17</v>
      </c>
      <c r="BF56" s="112" t="str">
        <f t="shared" si="31"/>
        <v>E-18</v>
      </c>
      <c r="BG56" s="112" t="str">
        <f t="shared" si="31"/>
        <v>E-19</v>
      </c>
      <c r="BH56" s="112" t="str">
        <f t="shared" si="31"/>
        <v>E-20</v>
      </c>
      <c r="BI56" s="112" t="str">
        <f t="shared" si="31"/>
        <v>E-21</v>
      </c>
    </row>
    <row r="57" spans="1:61">
      <c r="A57" s="107" t="s">
        <v>151</v>
      </c>
      <c r="R57" s="120"/>
      <c r="S57" s="121"/>
      <c r="T57" s="121"/>
      <c r="U57" s="121"/>
      <c r="V57" s="121"/>
      <c r="W57" s="121"/>
      <c r="X57" s="121"/>
      <c r="Y57" s="121"/>
      <c r="Z57" s="121"/>
      <c r="AD57" s="111"/>
      <c r="AE57" s="111"/>
      <c r="AF57" s="111">
        <f>SUM(AH57:BI57)</f>
        <v>1.9037859434128886E-2</v>
      </c>
      <c r="AG57" s="111"/>
      <c r="AH57" s="113">
        <f t="shared" ref="AH57:BI57" si="32">$D$3*$S12/(AH12^2/$D$4^2)*2*(1-COS(AH12*$M$6))</f>
        <v>1.3801752454178982E-3</v>
      </c>
      <c r="AI57" s="113">
        <f t="shared" si="32"/>
        <v>1.0049051194538764E-3</v>
      </c>
      <c r="AJ57" s="113">
        <f t="shared" si="32"/>
        <v>7.7336456722627367E-4</v>
      </c>
      <c r="AK57" s="113">
        <f t="shared" si="32"/>
        <v>6.2032744829602362E-4</v>
      </c>
      <c r="AL57" s="113">
        <f t="shared" si="32"/>
        <v>5.1380755534040422E-4</v>
      </c>
      <c r="AM57" s="113">
        <f t="shared" si="32"/>
        <v>4.3660696539919692E-4</v>
      </c>
      <c r="AN57" s="113">
        <f t="shared" si="32"/>
        <v>3.7880000797663047E-4</v>
      </c>
      <c r="AO57" s="113">
        <f t="shared" si="32"/>
        <v>3.3432553919490537E-4</v>
      </c>
      <c r="AP57" s="113">
        <f t="shared" si="32"/>
        <v>2.9930723924343828E-4</v>
      </c>
      <c r="AQ57" s="113">
        <f t="shared" si="32"/>
        <v>2.711681395721748E-4</v>
      </c>
      <c r="AR57" s="113">
        <f t="shared" si="32"/>
        <v>4.1775185717572959E-3</v>
      </c>
      <c r="AS57" s="113">
        <f t="shared" si="32"/>
        <v>2.2682716810427466E-3</v>
      </c>
      <c r="AT57" s="113">
        <f t="shared" si="32"/>
        <v>1.4288972146980804E-3</v>
      </c>
      <c r="AU57" s="113">
        <f t="shared" si="32"/>
        <v>9.8827073652231912E-4</v>
      </c>
      <c r="AV57" s="113">
        <f t="shared" si="32"/>
        <v>7.2927146486328987E-4</v>
      </c>
      <c r="AW57" s="113">
        <f t="shared" si="32"/>
        <v>5.6458828306390075E-4</v>
      </c>
      <c r="AX57" s="113">
        <f t="shared" si="32"/>
        <v>4.5364675197071821E-4</v>
      </c>
      <c r="AY57" s="113">
        <f t="shared" si="32"/>
        <v>3.7552773522262216E-4</v>
      </c>
      <c r="AZ57" s="113">
        <f t="shared" si="32"/>
        <v>3.1856480957451704E-4</v>
      </c>
      <c r="BA57" s="113">
        <f t="shared" si="32"/>
        <v>2.7583810281371683E-4</v>
      </c>
      <c r="BB57" s="113">
        <f t="shared" si="32"/>
        <v>2.4303354853464859E-4</v>
      </c>
      <c r="BC57" s="113">
        <f t="shared" si="32"/>
        <v>2.1734845335815033E-4</v>
      </c>
      <c r="BD57" s="113">
        <f t="shared" si="32"/>
        <v>1.9689747340840104E-4</v>
      </c>
      <c r="BE57" s="113">
        <f t="shared" si="32"/>
        <v>1.8037372925663552E-4</v>
      </c>
      <c r="BF57" s="113">
        <f t="shared" si="32"/>
        <v>1.6684715129572269E-4</v>
      </c>
      <c r="BG57" s="113">
        <f t="shared" si="32"/>
        <v>1.5564006674554016E-4</v>
      </c>
      <c r="BH57" s="113">
        <f t="shared" si="32"/>
        <v>1.4624799713668915E-4</v>
      </c>
      <c r="BI57" s="113">
        <f t="shared" si="32"/>
        <v>1.3828783574307369E-4</v>
      </c>
    </row>
    <row r="58" spans="1:61">
      <c r="A58" s="107" t="s">
        <v>152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R58" s="120"/>
      <c r="S58" s="121"/>
      <c r="T58" s="121"/>
      <c r="U58" s="121"/>
      <c r="V58" s="121"/>
      <c r="W58" s="121"/>
      <c r="X58" s="121"/>
      <c r="Y58" s="121"/>
      <c r="Z58" s="121"/>
      <c r="AD58" s="111"/>
      <c r="AE58" s="111"/>
      <c r="AF58" s="111">
        <f>SUM(AH58:BI58)</f>
        <v>1.5224222982829374E-2</v>
      </c>
      <c r="AG58" s="111"/>
      <c r="AH58" s="113">
        <f t="shared" ref="AH58:BI60" si="33">$D$3*$S14/(AH14^2/$D$4^2)*2*(1-COS(AH14*$M$6))</f>
        <v>1.12386824161919E-3</v>
      </c>
      <c r="AI58" s="113">
        <f t="shared" si="33"/>
        <v>8.2263366286398215E-4</v>
      </c>
      <c r="AJ58" s="113">
        <f t="shared" si="33"/>
        <v>6.3709980636394309E-4</v>
      </c>
      <c r="AK58" s="113">
        <f t="shared" si="33"/>
        <v>5.1466142913200437E-4</v>
      </c>
      <c r="AL58" s="113">
        <f t="shared" si="33"/>
        <v>4.2957692171302544E-4</v>
      </c>
      <c r="AM58" s="113">
        <f t="shared" si="33"/>
        <v>3.6802536717070894E-4</v>
      </c>
      <c r="AN58" s="113">
        <f t="shared" si="33"/>
        <v>3.2203698400586409E-4</v>
      </c>
      <c r="AO58" s="113">
        <f t="shared" si="33"/>
        <v>2.867469211641249E-4</v>
      </c>
      <c r="AP58" s="113">
        <f t="shared" si="33"/>
        <v>2.5904372108087213E-4</v>
      </c>
      <c r="AQ58" s="113">
        <f t="shared" si="33"/>
        <v>2.3685767557743897E-4</v>
      </c>
      <c r="AR58" s="113">
        <f t="shared" si="33"/>
        <v>3.2134207060134055E-3</v>
      </c>
      <c r="AS58" s="113">
        <f t="shared" si="33"/>
        <v>1.7548580343710303E-3</v>
      </c>
      <c r="AT58" s="113">
        <f t="shared" si="33"/>
        <v>1.1106226923289016E-3</v>
      </c>
      <c r="AU58" s="113">
        <f t="shared" si="33"/>
        <v>7.7168192790738632E-4</v>
      </c>
      <c r="AV58" s="113">
        <f t="shared" si="33"/>
        <v>5.7227318235277794E-4</v>
      </c>
      <c r="AW58" s="113">
        <f t="shared" si="33"/>
        <v>4.4547728357613345E-4</v>
      </c>
      <c r="AX58" s="113">
        <f t="shared" si="33"/>
        <v>3.6011773352203702E-4</v>
      </c>
      <c r="AY58" s="113">
        <f t="shared" si="33"/>
        <v>3.0009342408476446E-4</v>
      </c>
      <c r="AZ58" s="113">
        <f t="shared" si="33"/>
        <v>2.5641430160615954E-4</v>
      </c>
      <c r="BA58" s="113">
        <f t="shared" si="33"/>
        <v>2.2374342229464596E-4</v>
      </c>
      <c r="BB58" s="113">
        <f t="shared" si="33"/>
        <v>1.9875136500377281E-4</v>
      </c>
      <c r="BC58" s="113">
        <f t="shared" si="33"/>
        <v>1.7927384550301916E-4</v>
      </c>
      <c r="BD58" s="113">
        <f t="shared" si="33"/>
        <v>1.6385403338147692E-4</v>
      </c>
      <c r="BE58" s="113">
        <f t="shared" si="33"/>
        <v>1.5148123760149886E-4</v>
      </c>
      <c r="BF58" s="113">
        <f t="shared" si="33"/>
        <v>1.4143530695224067E-4</v>
      </c>
      <c r="BG58" s="113">
        <f t="shared" si="33"/>
        <v>1.3319057532549036E-4</v>
      </c>
      <c r="BH58" s="113">
        <f t="shared" si="33"/>
        <v>1.263546788486793E-4</v>
      </c>
      <c r="BI58" s="113">
        <f t="shared" si="33"/>
        <v>1.2062850146480384E-4</v>
      </c>
    </row>
    <row r="59" spans="1:61">
      <c r="A59" s="107" t="s">
        <v>153</v>
      </c>
      <c r="AD59" s="111"/>
      <c r="AE59" s="111"/>
      <c r="AF59" s="111">
        <f>SUM(AH59:BI59)</f>
        <v>1.347506364022975E-2</v>
      </c>
      <c r="AG59" s="111"/>
      <c r="AH59" s="113">
        <f t="shared" si="33"/>
        <v>1.0030787090797653E-3</v>
      </c>
      <c r="AI59" s="113">
        <f t="shared" si="33"/>
        <v>7.3656723344375991E-4</v>
      </c>
      <c r="AJ59" s="113">
        <f t="shared" si="33"/>
        <v>5.7256823307762195E-4</v>
      </c>
      <c r="AK59" s="113">
        <f t="shared" si="33"/>
        <v>4.6443635874308367E-4</v>
      </c>
      <c r="AL59" s="113">
        <f t="shared" si="33"/>
        <v>3.8936877664318918E-4</v>
      </c>
      <c r="AM59" s="113">
        <f t="shared" si="33"/>
        <v>3.3512994396544876E-4</v>
      </c>
      <c r="AN59" s="113">
        <f t="shared" si="33"/>
        <v>2.9466665467132812E-4</v>
      </c>
      <c r="AO59" s="113">
        <f t="shared" si="33"/>
        <v>2.6367393392107597E-4</v>
      </c>
      <c r="AP59" s="113">
        <f t="shared" si="33"/>
        <v>2.3939794701094346E-4</v>
      </c>
      <c r="AQ59" s="113">
        <f t="shared" si="33"/>
        <v>2.2000600522042272E-4</v>
      </c>
      <c r="AR59" s="113">
        <f t="shared" si="33"/>
        <v>2.7829585533077428E-3</v>
      </c>
      <c r="AS59" s="113">
        <f t="shared" si="33"/>
        <v>1.5241280979155136E-3</v>
      </c>
      <c r="AT59" s="113">
        <f t="shared" si="33"/>
        <v>9.6695736185446778E-4</v>
      </c>
      <c r="AU59" s="113">
        <f t="shared" si="33"/>
        <v>6.7355945657294103E-4</v>
      </c>
      <c r="AV59" s="113">
        <f t="shared" si="33"/>
        <v>5.0090362721080708E-4</v>
      </c>
      <c r="AW59" s="113">
        <f t="shared" si="33"/>
        <v>3.9114374814440346E-4</v>
      </c>
      <c r="AX59" s="113">
        <f t="shared" si="33"/>
        <v>3.1729968491275693E-4</v>
      </c>
      <c r="AY59" s="113">
        <f t="shared" si="33"/>
        <v>2.6542718324865219E-4</v>
      </c>
      <c r="AZ59" s="113">
        <f t="shared" si="33"/>
        <v>2.2773659276873764E-4</v>
      </c>
      <c r="BA59" s="113">
        <f t="shared" si="33"/>
        <v>1.9960198957622233E-4</v>
      </c>
      <c r="BB59" s="113">
        <f t="shared" si="33"/>
        <v>1.7813675291254762E-4</v>
      </c>
      <c r="BC59" s="113">
        <f t="shared" si="33"/>
        <v>1.6146397017666194E-4</v>
      </c>
      <c r="BD59" s="113">
        <f t="shared" si="33"/>
        <v>1.4831985843950836E-4</v>
      </c>
      <c r="BE59" s="113">
        <f t="shared" si="33"/>
        <v>1.3782725779262439E-4</v>
      </c>
      <c r="BF59" s="113">
        <f t="shared" si="33"/>
        <v>1.2936071807174477E-4</v>
      </c>
      <c r="BG59" s="113">
        <f t="shared" si="33"/>
        <v>1.224631914190358E-4</v>
      </c>
      <c r="BH59" s="113">
        <f t="shared" si="33"/>
        <v>1.1679295397265946E-4</v>
      </c>
      <c r="BI59" s="113">
        <f t="shared" si="33"/>
        <v>1.1208884615608502E-4</v>
      </c>
    </row>
    <row r="60" spans="1:61">
      <c r="A60" s="107" t="s">
        <v>154</v>
      </c>
      <c r="AD60" s="111"/>
      <c r="AE60" s="111"/>
      <c r="AF60" s="111">
        <f>SUM(AH60:BI60)</f>
        <v>1.1836840034788855E-2</v>
      </c>
      <c r="AG60" s="111"/>
      <c r="AH60" s="113">
        <f t="shared" si="33"/>
        <v>8.88031798288958E-4</v>
      </c>
      <c r="AI60" s="113">
        <f t="shared" si="33"/>
        <v>6.5446648122408568E-4</v>
      </c>
      <c r="AJ60" s="113">
        <f t="shared" si="33"/>
        <v>5.1087666688966822E-4</v>
      </c>
      <c r="AK60" s="113">
        <f t="shared" si="33"/>
        <v>4.1629503340621064E-4</v>
      </c>
      <c r="AL60" s="113">
        <f t="shared" si="33"/>
        <v>3.5071267953017869E-4</v>
      </c>
      <c r="AM60" s="113">
        <f t="shared" si="33"/>
        <v>3.0339906336471358E-4</v>
      </c>
      <c r="AN60" s="113">
        <f t="shared" si="33"/>
        <v>2.6817015599186117E-4</v>
      </c>
      <c r="AO60" s="113">
        <f t="shared" si="33"/>
        <v>2.4125149756903911E-4</v>
      </c>
      <c r="AP60" s="113">
        <f t="shared" si="33"/>
        <v>2.2022793909541022E-4</v>
      </c>
      <c r="AQ60" s="113">
        <f t="shared" si="33"/>
        <v>2.0349118075173959E-4</v>
      </c>
      <c r="AR60" s="113">
        <f t="shared" si="33"/>
        <v>2.3870559687859945E-3</v>
      </c>
      <c r="AS60" s="113">
        <f t="shared" si="33"/>
        <v>1.3110553684981283E-3</v>
      </c>
      <c r="AT60" s="113">
        <f t="shared" si="33"/>
        <v>8.3390805062859253E-4</v>
      </c>
      <c r="AU60" s="113">
        <f t="shared" si="33"/>
        <v>5.8246627746428583E-4</v>
      </c>
      <c r="AV60" s="113">
        <f t="shared" si="33"/>
        <v>4.3449114127107932E-4</v>
      </c>
      <c r="AW60" s="113">
        <f t="shared" si="33"/>
        <v>3.4046198344772822E-4</v>
      </c>
      <c r="AX60" s="113">
        <f t="shared" si="33"/>
        <v>2.772576716216977E-4</v>
      </c>
      <c r="AY60" s="113">
        <f t="shared" si="33"/>
        <v>2.3292049971242892E-4</v>
      </c>
      <c r="AZ60" s="113">
        <f t="shared" si="33"/>
        <v>2.0076771611107275E-4</v>
      </c>
      <c r="BA60" s="113">
        <f t="shared" si="33"/>
        <v>1.7682961438072084E-4</v>
      </c>
      <c r="BB60" s="113">
        <f t="shared" si="33"/>
        <v>1.5862853247672874E-4</v>
      </c>
      <c r="BC60" s="113">
        <f t="shared" si="33"/>
        <v>1.4455312048919171E-4</v>
      </c>
      <c r="BD60" s="113">
        <f t="shared" si="33"/>
        <v>1.3351808165024289E-4</v>
      </c>
      <c r="BE60" s="113">
        <f t="shared" si="33"/>
        <v>1.2476977117745487E-4</v>
      </c>
      <c r="BF60" s="113">
        <f t="shared" si="33"/>
        <v>1.1777037433112325E-4</v>
      </c>
      <c r="BG60" s="113">
        <f t="shared" si="33"/>
        <v>1.1212636860533208E-4</v>
      </c>
      <c r="BH60" s="113">
        <f t="shared" si="33"/>
        <v>1.075429306479558E-4</v>
      </c>
      <c r="BI60" s="113">
        <f t="shared" si="33"/>
        <v>1.037940673772312E-4</v>
      </c>
    </row>
    <row r="61" spans="1:61">
      <c r="A61" s="107" t="s">
        <v>155</v>
      </c>
      <c r="C61" s="122"/>
      <c r="D61" s="122"/>
      <c r="AF61" s="111">
        <f t="shared" ref="AF61:AF68" si="34">SUM(AH61:BI61)</f>
        <v>1.1836840034788855E-2</v>
      </c>
      <c r="AH61" s="113">
        <f t="shared" ref="AH61:BI61" si="35">$D$3*$S16/(AH16^2/$D$4^2)*2*(1-COS(AH16*$M$6))</f>
        <v>8.88031798288958E-4</v>
      </c>
      <c r="AI61" s="113">
        <f t="shared" si="35"/>
        <v>6.5446648122408568E-4</v>
      </c>
      <c r="AJ61" s="113">
        <f t="shared" si="35"/>
        <v>5.1087666688966822E-4</v>
      </c>
      <c r="AK61" s="113">
        <f t="shared" si="35"/>
        <v>4.1629503340621064E-4</v>
      </c>
      <c r="AL61" s="113">
        <f t="shared" si="35"/>
        <v>3.5071267953017869E-4</v>
      </c>
      <c r="AM61" s="113">
        <f t="shared" si="35"/>
        <v>3.0339906336471358E-4</v>
      </c>
      <c r="AN61" s="113">
        <f t="shared" si="35"/>
        <v>2.6817015599186117E-4</v>
      </c>
      <c r="AO61" s="113">
        <f t="shared" si="35"/>
        <v>2.4125149756903911E-4</v>
      </c>
      <c r="AP61" s="113">
        <f t="shared" si="35"/>
        <v>2.2022793909541022E-4</v>
      </c>
      <c r="AQ61" s="113">
        <f t="shared" si="35"/>
        <v>2.0349118075173959E-4</v>
      </c>
      <c r="AR61" s="113">
        <f t="shared" si="35"/>
        <v>2.3870559687859945E-3</v>
      </c>
      <c r="AS61" s="113">
        <f t="shared" si="35"/>
        <v>1.3110553684981283E-3</v>
      </c>
      <c r="AT61" s="113">
        <f t="shared" si="35"/>
        <v>8.3390805062859253E-4</v>
      </c>
      <c r="AU61" s="113">
        <f t="shared" si="35"/>
        <v>5.8246627746428583E-4</v>
      </c>
      <c r="AV61" s="113">
        <f t="shared" si="35"/>
        <v>4.3449114127107932E-4</v>
      </c>
      <c r="AW61" s="113">
        <f t="shared" si="35"/>
        <v>3.4046198344772822E-4</v>
      </c>
      <c r="AX61" s="113">
        <f t="shared" si="35"/>
        <v>2.772576716216977E-4</v>
      </c>
      <c r="AY61" s="113">
        <f t="shared" si="35"/>
        <v>2.3292049971242892E-4</v>
      </c>
      <c r="AZ61" s="113">
        <f t="shared" si="35"/>
        <v>2.0076771611107275E-4</v>
      </c>
      <c r="BA61" s="113">
        <f t="shared" si="35"/>
        <v>1.7682961438072084E-4</v>
      </c>
      <c r="BB61" s="113">
        <f t="shared" si="35"/>
        <v>1.5862853247672874E-4</v>
      </c>
      <c r="BC61" s="113">
        <f t="shared" si="35"/>
        <v>1.4455312048919171E-4</v>
      </c>
      <c r="BD61" s="113">
        <f t="shared" si="35"/>
        <v>1.3351808165024289E-4</v>
      </c>
      <c r="BE61" s="113">
        <f t="shared" si="35"/>
        <v>1.2476977117745487E-4</v>
      </c>
      <c r="BF61" s="113">
        <f t="shared" si="35"/>
        <v>1.1777037433112325E-4</v>
      </c>
      <c r="BG61" s="113">
        <f t="shared" si="35"/>
        <v>1.1212636860533208E-4</v>
      </c>
      <c r="BH61" s="113">
        <f t="shared" si="35"/>
        <v>1.075429306479558E-4</v>
      </c>
      <c r="BI61" s="113">
        <f t="shared" si="35"/>
        <v>1.037940673772312E-4</v>
      </c>
    </row>
    <row r="62" spans="1:61">
      <c r="A62" s="107" t="s">
        <v>156</v>
      </c>
      <c r="C62" s="122"/>
      <c r="D62" s="122"/>
      <c r="AF62" s="111">
        <f t="shared" si="34"/>
        <v>8.9023914474278178E-3</v>
      </c>
      <c r="AH62" s="113">
        <f t="shared" ref="AH62:BI68" si="36">$D$3*$S18/(AH18^2/$D$4^2)*2*(1-COS(AH18*$M$6))</f>
        <v>6.7703718245124911E-4</v>
      </c>
      <c r="AI62" s="113">
        <f t="shared" si="36"/>
        <v>5.0347705629021522E-4</v>
      </c>
      <c r="AJ62" s="113">
        <f t="shared" si="36"/>
        <v>3.9700343347125883E-4</v>
      </c>
      <c r="AK62" s="113">
        <f t="shared" si="36"/>
        <v>3.2704655966802612E-4</v>
      </c>
      <c r="AL62" s="113">
        <f t="shared" si="36"/>
        <v>2.7869908536654297E-4</v>
      </c>
      <c r="AM62" s="113">
        <f t="shared" si="36"/>
        <v>2.4397298643444665E-4</v>
      </c>
      <c r="AN62" s="113">
        <f t="shared" si="36"/>
        <v>2.1826585476200836E-4</v>
      </c>
      <c r="AO62" s="113">
        <f t="shared" si="36"/>
        <v>1.9876763783645553E-4</v>
      </c>
      <c r="AP62" s="113">
        <f t="shared" si="36"/>
        <v>1.8367846915824499E-4</v>
      </c>
      <c r="AQ62" s="113">
        <f t="shared" si="36"/>
        <v>1.7179753432021972E-4</v>
      </c>
      <c r="AR62" s="113">
        <f t="shared" si="36"/>
        <v>1.6975624836319697E-3</v>
      </c>
      <c r="AS62" s="113">
        <f t="shared" si="36"/>
        <v>9.3781944250032165E-4</v>
      </c>
      <c r="AT62" s="113">
        <f t="shared" si="36"/>
        <v>5.9986813308814525E-4</v>
      </c>
      <c r="AU62" s="113">
        <f t="shared" si="36"/>
        <v>4.2163140529037461E-4</v>
      </c>
      <c r="AV62" s="113">
        <f t="shared" si="36"/>
        <v>3.1679811089167374E-4</v>
      </c>
      <c r="AW62" s="113">
        <f t="shared" si="36"/>
        <v>2.5029769193295453E-4</v>
      </c>
      <c r="AX62" s="113">
        <f t="shared" si="36"/>
        <v>2.0572691974842492E-4</v>
      </c>
      <c r="AY62" s="113">
        <f t="shared" si="36"/>
        <v>1.7459367919971767E-4</v>
      </c>
      <c r="AZ62" s="113">
        <f t="shared" si="36"/>
        <v>1.5214924866538025E-4</v>
      </c>
      <c r="BA62" s="113">
        <f t="shared" si="36"/>
        <v>1.3557186074642451E-4</v>
      </c>
      <c r="BB62" s="113">
        <f t="shared" si="36"/>
        <v>1.2309992827042298E-4</v>
      </c>
      <c r="BC62" s="113">
        <f t="shared" si="36"/>
        <v>1.1358745639505842E-4</v>
      </c>
      <c r="BD62" s="113">
        <f t="shared" si="36"/>
        <v>1.0626213070768241E-4</v>
      </c>
      <c r="BE62" s="113">
        <f t="shared" si="36"/>
        <v>1.0058703445951883E-4</v>
      </c>
      <c r="BF62" s="113">
        <f t="shared" si="36"/>
        <v>9.6178222137227923E-5</v>
      </c>
      <c r="BG62" s="113">
        <f t="shared" si="36"/>
        <v>9.2753780861675922E-5</v>
      </c>
      <c r="BH62" s="113">
        <f t="shared" si="36"/>
        <v>9.0101342247384658E-5</v>
      </c>
      <c r="BI62" s="113">
        <f t="shared" si="36"/>
        <v>8.8056776894790753E-5</v>
      </c>
    </row>
    <row r="63" spans="1:61">
      <c r="A63" s="107" t="s">
        <v>157</v>
      </c>
      <c r="C63" s="122"/>
      <c r="D63" s="122"/>
      <c r="AF63" s="111">
        <f t="shared" si="34"/>
        <v>7.6078537057472605E-3</v>
      </c>
      <c r="AH63" s="113">
        <f t="shared" si="36"/>
        <v>5.8180167695047144E-4</v>
      </c>
      <c r="AI63" s="113">
        <f t="shared" si="36"/>
        <v>4.3508999405365113E-4</v>
      </c>
      <c r="AJ63" s="113">
        <f t="shared" si="36"/>
        <v>3.4520232618633333E-4</v>
      </c>
      <c r="AK63" s="113">
        <f t="shared" si="36"/>
        <v>2.8624384238535851E-4</v>
      </c>
      <c r="AL63" s="113">
        <f t="shared" si="36"/>
        <v>2.4559473564366271E-4</v>
      </c>
      <c r="AM63" s="113">
        <f t="shared" si="36"/>
        <v>2.1649443856411899E-4</v>
      </c>
      <c r="AN63" s="113">
        <f t="shared" si="36"/>
        <v>1.9504751234000384E-4</v>
      </c>
      <c r="AO63" s="113">
        <f t="shared" si="36"/>
        <v>1.7887461698556356E-4</v>
      </c>
      <c r="AP63" s="113">
        <f t="shared" si="36"/>
        <v>1.6645053576155085E-4</v>
      </c>
      <c r="AQ63" s="113">
        <f t="shared" si="36"/>
        <v>1.567563058852424E-4</v>
      </c>
      <c r="AR63" s="113">
        <f t="shared" si="36"/>
        <v>1.4026664153083106E-3</v>
      </c>
      <c r="AS63" s="113">
        <f t="shared" si="36"/>
        <v>7.7725519820031285E-4</v>
      </c>
      <c r="AT63" s="113">
        <f t="shared" si="36"/>
        <v>4.9874043754760558E-4</v>
      </c>
      <c r="AU63" s="113">
        <f t="shared" si="36"/>
        <v>3.5185095375920905E-4</v>
      </c>
      <c r="AV63" s="113">
        <f t="shared" si="36"/>
        <v>2.6552147272574278E-4</v>
      </c>
      <c r="AW63" s="113">
        <f t="shared" si="36"/>
        <v>2.1083958482911484E-4</v>
      </c>
      <c r="AX63" s="113">
        <f t="shared" si="36"/>
        <v>1.7427317905324515E-4</v>
      </c>
      <c r="AY63" s="113">
        <f t="shared" si="36"/>
        <v>1.4881423688829231E-4</v>
      </c>
      <c r="AZ63" s="113">
        <f t="shared" si="36"/>
        <v>1.3054346597791161E-4</v>
      </c>
      <c r="BA63" s="113">
        <f t="shared" si="36"/>
        <v>1.1713194484334714E-4</v>
      </c>
      <c r="BB63" s="113">
        <f t="shared" si="36"/>
        <v>1.0712578568300499E-4</v>
      </c>
      <c r="BC63" s="113">
        <f t="shared" si="36"/>
        <v>9.9579103427101888E-5</v>
      </c>
      <c r="BD63" s="113">
        <f t="shared" si="36"/>
        <v>9.3854259785055758E-5</v>
      </c>
      <c r="BE63" s="113">
        <f t="shared" si="36"/>
        <v>8.9507656719821965E-5</v>
      </c>
      <c r="BF63" s="113">
        <f t="shared" si="36"/>
        <v>8.6221647007572085E-5</v>
      </c>
      <c r="BG63" s="113">
        <f t="shared" si="36"/>
        <v>8.3762442929471802E-5</v>
      </c>
      <c r="BH63" s="113">
        <f t="shared" si="36"/>
        <v>8.1953257760203758E-5</v>
      </c>
      <c r="BI63" s="113">
        <f t="shared" si="36"/>
        <v>8.0656678545979274E-5</v>
      </c>
    </row>
    <row r="64" spans="1:61">
      <c r="A64" s="107" t="s">
        <v>158</v>
      </c>
      <c r="C64" s="122"/>
      <c r="D64" s="122"/>
      <c r="AF64" s="111">
        <f t="shared" si="34"/>
        <v>6.4253856921440283E-3</v>
      </c>
      <c r="AH64" s="113">
        <f t="shared" si="36"/>
        <v>4.9353836331602816E-4</v>
      </c>
      <c r="AI64" s="113">
        <f t="shared" si="36"/>
        <v>3.7152334275775459E-4</v>
      </c>
      <c r="AJ64" s="113">
        <f t="shared" si="36"/>
        <v>2.9688223498756136E-4</v>
      </c>
      <c r="AK64" s="113">
        <f t="shared" si="36"/>
        <v>2.4803223516564837E-4</v>
      </c>
      <c r="AL64" s="113">
        <f t="shared" si="36"/>
        <v>2.144600633685453E-4</v>
      </c>
      <c r="AM64" s="113">
        <f t="shared" si="36"/>
        <v>1.9053424475656161E-4</v>
      </c>
      <c r="AN64" s="113">
        <f t="shared" si="36"/>
        <v>1.7300918998345118E-4</v>
      </c>
      <c r="AO64" s="113">
        <f t="shared" si="36"/>
        <v>1.5990130186317974E-4</v>
      </c>
      <c r="AP64" s="113">
        <f t="shared" si="36"/>
        <v>1.4993766541014883E-4</v>
      </c>
      <c r="AQ64" s="113">
        <f t="shared" si="36"/>
        <v>1.4226637374043204E-4</v>
      </c>
      <c r="AR64" s="113">
        <f t="shared" si="36"/>
        <v>1.1393629082217911E-3</v>
      </c>
      <c r="AS64" s="113">
        <f t="shared" si="36"/>
        <v>6.3334965750516681E-4</v>
      </c>
      <c r="AT64" s="113">
        <f t="shared" si="36"/>
        <v>4.0782905471314993E-4</v>
      </c>
      <c r="AU64" s="113">
        <f t="shared" si="36"/>
        <v>2.8893384076305543E-4</v>
      </c>
      <c r="AV64" s="113">
        <f t="shared" si="36"/>
        <v>2.191428629406239E-4</v>
      </c>
      <c r="AW64" s="113">
        <f t="shared" si="36"/>
        <v>1.7502873803033086E-4</v>
      </c>
      <c r="AX64" s="113">
        <f t="shared" si="36"/>
        <v>1.4562101405113295E-4</v>
      </c>
      <c r="AY64" s="113">
        <f t="shared" si="36"/>
        <v>1.2523736405555027E-4</v>
      </c>
      <c r="AZ64" s="113">
        <f t="shared" si="36"/>
        <v>1.1070001573808177E-4</v>
      </c>
      <c r="BA64" s="113">
        <f t="shared" si="36"/>
        <v>1.0012093101819492E-4</v>
      </c>
      <c r="BB64" s="113">
        <f t="shared" si="36"/>
        <v>9.2321613537318104E-5</v>
      </c>
      <c r="BC64" s="113">
        <f t="shared" si="36"/>
        <v>8.6535351600606076E-5</v>
      </c>
      <c r="BD64" s="113">
        <f t="shared" si="36"/>
        <v>8.2245141017014427E-5</v>
      </c>
      <c r="BE64" s="113">
        <f t="shared" si="36"/>
        <v>7.9091008460885345E-5</v>
      </c>
      <c r="BF64" s="113">
        <f t="shared" si="36"/>
        <v>7.6814747109878168E-5</v>
      </c>
      <c r="BG64" s="113">
        <f t="shared" si="36"/>
        <v>7.5225741144960574E-5</v>
      </c>
      <c r="BH64" s="113">
        <f t="shared" si="36"/>
        <v>7.417914422946707E-5</v>
      </c>
      <c r="BI64" s="113">
        <f t="shared" si="36"/>
        <v>7.3561542657509188E-5</v>
      </c>
    </row>
    <row r="65" spans="1:61">
      <c r="A65" s="107" t="s">
        <v>159</v>
      </c>
      <c r="C65" s="122"/>
      <c r="D65" s="122"/>
      <c r="AF65" s="111">
        <f t="shared" si="34"/>
        <v>5.3527964832145074E-3</v>
      </c>
      <c r="AH65" s="113">
        <f t="shared" si="36"/>
        <v>4.123373093640045E-4</v>
      </c>
      <c r="AI65" s="113">
        <f t="shared" si="36"/>
        <v>3.1283333630146231E-4</v>
      </c>
      <c r="AJ65" s="113">
        <f t="shared" si="36"/>
        <v>2.5208246769606058E-4</v>
      </c>
      <c r="AK65" s="113">
        <f t="shared" si="36"/>
        <v>2.1244144633481249E-4</v>
      </c>
      <c r="AL65" s="113">
        <f t="shared" si="36"/>
        <v>1.8531866812989553E-4</v>
      </c>
      <c r="AM65" s="113">
        <f t="shared" si="36"/>
        <v>1.6611167153768259E-4</v>
      </c>
      <c r="AN65" s="113">
        <f t="shared" si="36"/>
        <v>1.5216676292362786E-4</v>
      </c>
      <c r="AO65" s="113">
        <f t="shared" si="36"/>
        <v>1.4186068573888197E-4</v>
      </c>
      <c r="AP65" s="113">
        <f t="shared" si="36"/>
        <v>1.3415024346449545E-4</v>
      </c>
      <c r="AQ65" s="113">
        <f t="shared" si="36"/>
        <v>1.2833565734120242E-4</v>
      </c>
      <c r="AR65" s="113">
        <f t="shared" si="36"/>
        <v>9.0649947549634971E-4</v>
      </c>
      <c r="AS65" s="113">
        <f t="shared" si="36"/>
        <v>5.0559763226833371E-4</v>
      </c>
      <c r="AT65" s="113">
        <f t="shared" si="36"/>
        <v>3.2686271509547912E-4</v>
      </c>
      <c r="AU65" s="113">
        <f t="shared" si="36"/>
        <v>2.3271589738949879E-4</v>
      </c>
      <c r="AV65" s="113">
        <f t="shared" si="36"/>
        <v>1.7755501504149851E-4</v>
      </c>
      <c r="AW65" s="113">
        <f t="shared" si="36"/>
        <v>1.4279133567769454E-4</v>
      </c>
      <c r="AX65" s="113">
        <f t="shared" si="36"/>
        <v>1.1971773770266681E-4</v>
      </c>
      <c r="AY65" s="113">
        <f t="shared" si="36"/>
        <v>1.0382443087792838E-4</v>
      </c>
      <c r="AZ65" s="113">
        <f t="shared" si="36"/>
        <v>9.2589975324776445E-5</v>
      </c>
      <c r="BA65" s="113">
        <f t="shared" si="36"/>
        <v>8.4516772572751624E-5</v>
      </c>
      <c r="BB65" s="113">
        <f t="shared" si="36"/>
        <v>7.8670309120757546E-5</v>
      </c>
      <c r="BC65" s="113">
        <f t="shared" si="36"/>
        <v>7.4442669611907511E-5</v>
      </c>
      <c r="BD65" s="113">
        <f t="shared" si="36"/>
        <v>7.1423804647936738E-5</v>
      </c>
      <c r="BE65" s="113">
        <f t="shared" si="36"/>
        <v>6.9327915557507408E-5</v>
      </c>
      <c r="BF65" s="113">
        <f t="shared" si="36"/>
        <v>6.7949547623054213E-5</v>
      </c>
      <c r="BG65" s="113">
        <f t="shared" si="36"/>
        <v>6.7136425335272349E-5</v>
      </c>
      <c r="BH65" s="113">
        <f t="shared" si="36"/>
        <v>6.6772091546347384E-5</v>
      </c>
      <c r="BI65" s="113">
        <f t="shared" si="36"/>
        <v>6.6764483492620316E-5</v>
      </c>
    </row>
    <row r="66" spans="1:61">
      <c r="A66" s="107" t="s">
        <v>160</v>
      </c>
      <c r="C66" s="122"/>
      <c r="D66" s="122"/>
      <c r="AF66" s="111">
        <f t="shared" si="34"/>
        <v>4.3774251274896212E-3</v>
      </c>
      <c r="AH66" s="113">
        <f t="shared" si="36"/>
        <v>3.3746977227434844E-4</v>
      </c>
      <c r="AI66" s="113">
        <f t="shared" si="36"/>
        <v>2.5845003178369869E-4</v>
      </c>
      <c r="AJ66" s="113">
        <f t="shared" si="36"/>
        <v>2.1033321722320651E-4</v>
      </c>
      <c r="AK66" s="113">
        <f t="shared" si="36"/>
        <v>1.7906795071235223E-4</v>
      </c>
      <c r="AL66" s="113">
        <f t="shared" si="36"/>
        <v>1.578123501398849E-4</v>
      </c>
      <c r="AM66" s="113">
        <f t="shared" si="36"/>
        <v>1.4290013181888022E-4</v>
      </c>
      <c r="AN66" s="113">
        <f t="shared" si="36"/>
        <v>1.322158749435626E-4</v>
      </c>
      <c r="AO66" s="113">
        <f t="shared" si="36"/>
        <v>1.2446398962473955E-4</v>
      </c>
      <c r="AP66" s="113">
        <f t="shared" si="36"/>
        <v>1.1881021303202271E-4</v>
      </c>
      <c r="AQ66" s="113">
        <f t="shared" si="36"/>
        <v>1.1469320247075697E-4</v>
      </c>
      <c r="AR66" s="113">
        <f t="shared" si="36"/>
        <v>7.0128950267557869E-4</v>
      </c>
      <c r="AS66" s="113">
        <f t="shared" si="36"/>
        <v>3.925678585642951E-4</v>
      </c>
      <c r="AT66" s="113">
        <f t="shared" si="36"/>
        <v>2.5496510635734975E-4</v>
      </c>
      <c r="AU66" s="113">
        <f t="shared" si="36"/>
        <v>1.8259826241557179E-4</v>
      </c>
      <c r="AV66" s="113">
        <f t="shared" si="36"/>
        <v>1.4031603111201764E-4</v>
      </c>
      <c r="AW66" s="113">
        <f t="shared" si="36"/>
        <v>1.137819263200946E-4</v>
      </c>
      <c r="AX66" s="113">
        <f t="shared" si="36"/>
        <v>9.6280650155090375E-5</v>
      </c>
      <c r="AY66" s="113">
        <f t="shared" si="36"/>
        <v>8.4335215459749758E-5</v>
      </c>
      <c r="AZ66" s="113">
        <f t="shared" si="36"/>
        <v>7.6002633616579541E-5</v>
      </c>
      <c r="BA66" s="113">
        <f t="shared" si="36"/>
        <v>7.012955074029326E-5</v>
      </c>
      <c r="BB66" s="113">
        <f t="shared" si="36"/>
        <v>6.5996633756188977E-5</v>
      </c>
      <c r="BC66" s="113">
        <f t="shared" si="36"/>
        <v>6.3136058167465012E-5</v>
      </c>
      <c r="BD66" s="113">
        <f t="shared" si="36"/>
        <v>6.1232164441065676E-5</v>
      </c>
      <c r="BE66" s="113">
        <f t="shared" si="36"/>
        <v>6.0064647811529015E-5</v>
      </c>
      <c r="BF66" s="113">
        <f t="shared" si="36"/>
        <v>5.9474666311356859E-5</v>
      </c>
      <c r="BG66" s="113">
        <f t="shared" si="36"/>
        <v>5.9343857978949461E-5</v>
      </c>
      <c r="BH66" s="113">
        <f t="shared" si="36"/>
        <v>5.9580912652908957E-5</v>
      </c>
      <c r="BI66" s="113">
        <f t="shared" si="36"/>
        <v>6.0112714930084219E-5</v>
      </c>
    </row>
    <row r="67" spans="1:61">
      <c r="A67" s="107" t="s">
        <v>161</v>
      </c>
      <c r="C67" s="122"/>
      <c r="D67" s="122"/>
      <c r="AF67" s="111">
        <f t="shared" si="34"/>
        <v>3.5297174591284665E-3</v>
      </c>
      <c r="AH67" s="113">
        <f t="shared" si="36"/>
        <v>2.7152355276382719E-4</v>
      </c>
      <c r="AI67" s="113">
        <f t="shared" si="36"/>
        <v>2.1034548222326747E-4</v>
      </c>
      <c r="AJ67" s="113">
        <f t="shared" si="36"/>
        <v>1.7323473014060808E-4</v>
      </c>
      <c r="AK67" s="113">
        <f t="shared" si="36"/>
        <v>1.4927139278652314E-4</v>
      </c>
      <c r="AL67" s="113">
        <f t="shared" si="36"/>
        <v>1.3313726018508688E-4</v>
      </c>
      <c r="AM67" s="113">
        <f t="shared" si="36"/>
        <v>1.2198072467191909E-4</v>
      </c>
      <c r="AN67" s="113">
        <f t="shared" si="36"/>
        <v>1.1415461971288303E-4</v>
      </c>
      <c r="AO67" s="113">
        <f t="shared" si="36"/>
        <v>1.0864837832003836E-4</v>
      </c>
      <c r="AP67" s="113">
        <f t="shared" si="36"/>
        <v>1.0480950606468497E-4</v>
      </c>
      <c r="AQ67" s="113">
        <f t="shared" si="36"/>
        <v>1.0219713510384318E-4</v>
      </c>
      <c r="AR67" s="113">
        <f t="shared" si="36"/>
        <v>5.2787672285508247E-4</v>
      </c>
      <c r="AS67" s="113">
        <f t="shared" si="36"/>
        <v>2.9669800253331869E-4</v>
      </c>
      <c r="AT67" s="113">
        <f t="shared" si="36"/>
        <v>1.9376950504405347E-4</v>
      </c>
      <c r="AU67" s="113">
        <f t="shared" si="36"/>
        <v>1.3977830159990861E-4</v>
      </c>
      <c r="AV67" s="113">
        <f t="shared" si="36"/>
        <v>1.0836401388911324E-4</v>
      </c>
      <c r="AW67" s="113">
        <f t="shared" si="36"/>
        <v>8.8774100845520981E-5</v>
      </c>
      <c r="AX67" s="113">
        <f t="shared" si="36"/>
        <v>7.5974076763985889E-5</v>
      </c>
      <c r="AY67" s="113">
        <f t="shared" si="36"/>
        <v>6.7359149008955745E-5</v>
      </c>
      <c r="AZ67" s="113">
        <f t="shared" si="36"/>
        <v>6.1475059726661703E-5</v>
      </c>
      <c r="BA67" s="113">
        <f t="shared" si="36"/>
        <v>5.7459397496711138E-5</v>
      </c>
      <c r="BB67" s="113">
        <f t="shared" si="36"/>
        <v>5.4774735441087818E-5</v>
      </c>
      <c r="BC67" s="113">
        <f t="shared" si="36"/>
        <v>5.3071705248006106E-5</v>
      </c>
      <c r="BD67" s="113">
        <f t="shared" si="36"/>
        <v>5.2114483791799783E-5</v>
      </c>
      <c r="BE67" s="113">
        <f t="shared" si="36"/>
        <v>5.1738184057667997E-5</v>
      </c>
      <c r="BF67" s="113">
        <f t="shared" si="36"/>
        <v>5.1823426229289461E-5</v>
      </c>
      <c r="BG67" s="113">
        <f t="shared" si="36"/>
        <v>5.2280577855946965E-5</v>
      </c>
      <c r="BH67" s="113">
        <f t="shared" si="36"/>
        <v>5.3039646506914062E-5</v>
      </c>
      <c r="BI67" s="113">
        <f t="shared" si="36"/>
        <v>5.4043588261761268E-5</v>
      </c>
    </row>
    <row r="68" spans="1:61">
      <c r="A68" s="107" t="s">
        <v>162</v>
      </c>
      <c r="C68" s="122"/>
      <c r="D68" s="122"/>
      <c r="AF68" s="111">
        <f t="shared" si="34"/>
        <v>2.7945681419799841E-3</v>
      </c>
      <c r="AH68" s="113">
        <f t="shared" si="36"/>
        <v>2.1355145302032834E-4</v>
      </c>
      <c r="AI68" s="113">
        <f t="shared" si="36"/>
        <v>1.6781594709540466E-4</v>
      </c>
      <c r="AJ68" s="113">
        <f t="shared" si="36"/>
        <v>1.4023614536806873E-4</v>
      </c>
      <c r="AK68" s="113">
        <f t="shared" si="36"/>
        <v>1.2260293903161896E-4</v>
      </c>
      <c r="AL68" s="113">
        <f t="shared" si="36"/>
        <v>1.1091583840760237E-4</v>
      </c>
      <c r="AM68" s="113">
        <f t="shared" si="36"/>
        <v>1.0302746449196994E-4</v>
      </c>
      <c r="AN68" s="113">
        <f t="shared" si="36"/>
        <v>9.7695379540822211E-5</v>
      </c>
      <c r="AO68" s="113">
        <f t="shared" si="36"/>
        <v>9.4155418143939161E-5</v>
      </c>
      <c r="AP68" s="113">
        <f t="shared" si="36"/>
        <v>9.1912294063444314E-5</v>
      </c>
      <c r="AQ68" s="113">
        <f t="shared" si="36"/>
        <v>9.0629405795799323E-5</v>
      </c>
      <c r="AR68" s="113">
        <f t="shared" si="36"/>
        <v>3.8267890094338881E-4</v>
      </c>
      <c r="AS68" s="113">
        <f t="shared" si="36"/>
        <v>2.1610548810739686E-4</v>
      </c>
      <c r="AT68" s="113">
        <f t="shared" si="36"/>
        <v>1.4211341828264195E-4</v>
      </c>
      <c r="AU68" s="113">
        <f t="shared" si="36"/>
        <v>1.0346255830333502E-4</v>
      </c>
      <c r="AV68" s="113">
        <f t="shared" si="36"/>
        <v>8.1118720658911864E-5</v>
      </c>
      <c r="AW68" s="113">
        <f t="shared" si="36"/>
        <v>6.7321363931083486E-5</v>
      </c>
      <c r="AX68" s="113">
        <f t="shared" si="36"/>
        <v>5.8440574494715278E-5</v>
      </c>
      <c r="AY68" s="113">
        <f t="shared" si="36"/>
        <v>5.2600797694759617E-5</v>
      </c>
      <c r="AZ68" s="113">
        <f t="shared" si="36"/>
        <v>4.8756511122203852E-5</v>
      </c>
      <c r="BA68" s="113">
        <f t="shared" si="36"/>
        <v>4.6288655964054885E-5</v>
      </c>
      <c r="BB68" s="113">
        <f t="shared" si="36"/>
        <v>4.4811970415914836E-5</v>
      </c>
      <c r="BC68" s="113">
        <f t="shared" si="36"/>
        <v>4.407618848871711E-5</v>
      </c>
      <c r="BD68" s="113">
        <f t="shared" si="36"/>
        <v>4.3912296846317745E-5</v>
      </c>
      <c r="BE68" s="113">
        <f t="shared" si="36"/>
        <v>4.4201804975217857E-5</v>
      </c>
      <c r="BF68" s="113">
        <f t="shared" si="36"/>
        <v>4.4858394302780818E-5</v>
      </c>
      <c r="BG68" s="113">
        <f t="shared" si="36"/>
        <v>4.5816524630056835E-5</v>
      </c>
      <c r="BH68" s="113">
        <f t="shared" si="36"/>
        <v>4.7024100709055809E-5</v>
      </c>
      <c r="BI68" s="113">
        <f t="shared" si="36"/>
        <v>4.8437587150434403E-5</v>
      </c>
    </row>
    <row r="69" spans="1:61">
      <c r="A69" s="107" t="s">
        <v>163</v>
      </c>
      <c r="C69" s="122"/>
      <c r="D69" s="122"/>
      <c r="AF69" s="111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</row>
    <row r="70" spans="1:61">
      <c r="C70" s="122"/>
      <c r="D70" s="122"/>
      <c r="AF70" s="111">
        <f t="shared" ref="AF70:AF76" si="37">SUM(AH70:BI70)</f>
        <v>2.1606667599009602E-3</v>
      </c>
      <c r="AH70" s="113">
        <f t="shared" ref="AH70:BI76" si="38">$D$3*$S25/(AH25^2/$D$4^2)*2*(1-COS(AH25*$M$6))</f>
        <v>1.6287856386021284E-4</v>
      </c>
      <c r="AI70" s="113">
        <f t="shared" si="38"/>
        <v>1.3034937237192489E-4</v>
      </c>
      <c r="AJ70" s="113">
        <f t="shared" si="38"/>
        <v>1.1092799963912633E-4</v>
      </c>
      <c r="AK70" s="113">
        <f t="shared" si="38"/>
        <v>9.8721344891379066E-5</v>
      </c>
      <c r="AL70" s="113">
        <f t="shared" si="38"/>
        <v>9.0854008017180921E-5</v>
      </c>
      <c r="AM70" s="113">
        <f t="shared" si="38"/>
        <v>8.5779806600076451E-5</v>
      </c>
      <c r="AN70" s="113">
        <f t="shared" si="38"/>
        <v>8.2601903002567283E-5</v>
      </c>
      <c r="AO70" s="113">
        <f t="shared" si="38"/>
        <v>8.076665856575902E-5</v>
      </c>
      <c r="AP70" s="113">
        <f t="shared" si="38"/>
        <v>7.9913228645812724E-5</v>
      </c>
      <c r="AQ70" s="113">
        <f t="shared" si="38"/>
        <v>7.9794287917562813E-5</v>
      </c>
      <c r="AR70" s="113">
        <f t="shared" si="38"/>
        <v>2.6306960572554893E-4</v>
      </c>
      <c r="AS70" s="113">
        <f t="shared" si="38"/>
        <v>1.494209571503878E-4</v>
      </c>
      <c r="AT70" s="113">
        <f t="shared" si="38"/>
        <v>9.915481033781766E-5</v>
      </c>
      <c r="AU70" s="113">
        <f t="shared" si="38"/>
        <v>7.3077131475219958E-5</v>
      </c>
      <c r="AV70" s="113">
        <f t="shared" si="38"/>
        <v>5.8160069787586387E-5</v>
      </c>
      <c r="AW70" s="113">
        <f t="shared" si="38"/>
        <v>4.9099408991196994E-5</v>
      </c>
      <c r="AX70" s="113">
        <f t="shared" si="38"/>
        <v>4.3419049148250315E-5</v>
      </c>
      <c r="AY70" s="113">
        <f t="shared" si="38"/>
        <v>3.9842592807278779E-5</v>
      </c>
      <c r="AZ70" s="113">
        <f t="shared" si="38"/>
        <v>3.7660323390262264E-5</v>
      </c>
      <c r="BA70" s="113">
        <f t="shared" si="38"/>
        <v>3.6453080976897495E-5</v>
      </c>
      <c r="BB70" s="113">
        <f t="shared" si="38"/>
        <v>3.5960578706800479E-5</v>
      </c>
      <c r="BC70" s="113">
        <f t="shared" si="38"/>
        <v>3.6013942204819884E-5</v>
      </c>
      <c r="BD70" s="113">
        <f t="shared" si="38"/>
        <v>3.6499039776420971E-5</v>
      </c>
      <c r="BE70" s="113">
        <f t="shared" si="38"/>
        <v>3.7335515040626488E-5</v>
      </c>
      <c r="BF70" s="113">
        <f t="shared" si="38"/>
        <v>3.8464250108631698E-5</v>
      </c>
      <c r="BG70" s="113">
        <f t="shared" si="38"/>
        <v>3.9839555826951559E-5</v>
      </c>
      <c r="BH70" s="113">
        <f t="shared" si="38"/>
        <v>4.1424112426145056E-5</v>
      </c>
      <c r="BI70" s="113">
        <f t="shared" si="38"/>
        <v>4.3185562508515123E-5</v>
      </c>
    </row>
    <row r="71" spans="1:61">
      <c r="C71" s="122"/>
      <c r="D71" s="122"/>
      <c r="AF71" s="111">
        <f t="shared" si="37"/>
        <v>1.6243006266102979E-3</v>
      </c>
      <c r="AH71" s="113">
        <f t="shared" si="38"/>
        <v>1.1940033168477004E-4</v>
      </c>
      <c r="AI71" s="113">
        <f t="shared" si="38"/>
        <v>9.7873270113732694E-5</v>
      </c>
      <c r="AJ71" s="113">
        <f t="shared" si="38"/>
        <v>8.5260574144945108E-5</v>
      </c>
      <c r="AK71" s="113">
        <f t="shared" si="38"/>
        <v>7.7593193670228116E-5</v>
      </c>
      <c r="AL71" s="113">
        <f t="shared" si="38"/>
        <v>7.2930236428974171E-5</v>
      </c>
      <c r="AM71" s="113">
        <f t="shared" si="38"/>
        <v>7.0225039793548542E-5</v>
      </c>
      <c r="AN71" s="113">
        <f t="shared" si="38"/>
        <v>6.8868127497786016E-5</v>
      </c>
      <c r="AO71" s="113">
        <f t="shared" si="38"/>
        <v>6.8481105587226093E-5</v>
      </c>
      <c r="AP71" s="113">
        <f t="shared" si="38"/>
        <v>6.8815207332642209E-5</v>
      </c>
      <c r="AQ71" s="113">
        <f t="shared" si="38"/>
        <v>6.9697673223509607E-5</v>
      </c>
      <c r="AR71" s="113">
        <f t="shared" si="38"/>
        <v>1.6766389549138501E-4</v>
      </c>
      <c r="AS71" s="113">
        <f t="shared" si="38"/>
        <v>9.5960224300112456E-5</v>
      </c>
      <c r="AT71" s="113">
        <f t="shared" si="38"/>
        <v>6.4493442176176121E-5</v>
      </c>
      <c r="AU71" s="113">
        <f t="shared" si="38"/>
        <v>4.8363336005721684E-5</v>
      </c>
      <c r="AV71" s="113">
        <f t="shared" si="38"/>
        <v>3.9309801923999718E-5</v>
      </c>
      <c r="AW71" s="113">
        <f t="shared" si="38"/>
        <v>3.3979967818507506E-5</v>
      </c>
      <c r="AX71" s="113">
        <f t="shared" si="38"/>
        <v>3.0814404600823833E-5</v>
      </c>
      <c r="AY71" s="113">
        <f t="shared" si="38"/>
        <v>2.9012565810136062E-5</v>
      </c>
      <c r="AZ71" s="113">
        <f t="shared" si="38"/>
        <v>2.813128551001715E-5</v>
      </c>
      <c r="BA71" s="113">
        <f t="shared" si="38"/>
        <v>2.7909980525511306E-5</v>
      </c>
      <c r="BB71" s="113">
        <f t="shared" si="38"/>
        <v>2.8187453820062685E-5</v>
      </c>
      <c r="BC71" s="113">
        <f t="shared" si="38"/>
        <v>2.8859346957742551E-5</v>
      </c>
      <c r="BD71" s="113">
        <f t="shared" si="38"/>
        <v>2.9855036103494734E-5</v>
      </c>
      <c r="BE71" s="113">
        <f t="shared" si="38"/>
        <v>3.1124416358506214E-5</v>
      </c>
      <c r="BF71" s="113">
        <f t="shared" si="38"/>
        <v>3.2629977151739083E-5</v>
      </c>
      <c r="BG71" s="113">
        <f t="shared" si="38"/>
        <v>3.434183167865276E-5</v>
      </c>
      <c r="BH71" s="113">
        <f t="shared" si="38"/>
        <v>3.6234455609742024E-5</v>
      </c>
      <c r="BI71" s="113">
        <f t="shared" si="38"/>
        <v>3.8284445290603877E-5</v>
      </c>
    </row>
    <row r="72" spans="1:61">
      <c r="C72" s="122"/>
      <c r="D72" s="122"/>
      <c r="AF72" s="111">
        <f t="shared" si="37"/>
        <v>1.1815286744194847E-3</v>
      </c>
      <c r="AH72" s="113">
        <f t="shared" si="38"/>
        <v>8.2979139491697537E-5</v>
      </c>
      <c r="AI72" s="113">
        <f t="shared" si="38"/>
        <v>7.0292274946439718E-5</v>
      </c>
      <c r="AJ72" s="113">
        <f t="shared" si="38"/>
        <v>6.3167283286701673E-5</v>
      </c>
      <c r="AK72" s="113">
        <f t="shared" si="38"/>
        <v>5.917205045909622E-5</v>
      </c>
      <c r="AL72" s="113">
        <f t="shared" si="38"/>
        <v>5.7112594635698752E-5</v>
      </c>
      <c r="AM72" s="113">
        <f t="shared" si="38"/>
        <v>5.6341932225139918E-5</v>
      </c>
      <c r="AN72" s="113">
        <f t="shared" si="38"/>
        <v>5.6480866612119713E-5</v>
      </c>
      <c r="AO72" s="113">
        <f t="shared" si="38"/>
        <v>5.7291716992729929E-5</v>
      </c>
      <c r="AP72" s="113">
        <f t="shared" si="38"/>
        <v>5.8615931630609518E-5</v>
      </c>
      <c r="AQ72" s="113">
        <f t="shared" si="38"/>
        <v>6.0340949451165707E-5</v>
      </c>
      <c r="AR72" s="113">
        <f t="shared" si="38"/>
        <v>9.5068609164136728E-5</v>
      </c>
      <c r="AS72" s="113">
        <f t="shared" si="38"/>
        <v>5.5025188937319907E-5</v>
      </c>
      <c r="AT72" s="113">
        <f t="shared" si="38"/>
        <v>3.7716846274762387E-5</v>
      </c>
      <c r="AU72" s="113">
        <f t="shared" si="38"/>
        <v>2.9052444776887611E-5</v>
      </c>
      <c r="AV72" s="113">
        <f t="shared" si="38"/>
        <v>2.4381404469926477E-5</v>
      </c>
      <c r="AW72" s="113">
        <f t="shared" si="38"/>
        <v>2.1827883015556026E-5</v>
      </c>
      <c r="AX72" s="113">
        <f t="shared" si="38"/>
        <v>2.0525688880828647E-5</v>
      </c>
      <c r="AY72" s="113">
        <f t="shared" si="38"/>
        <v>2.0033683481072042E-5</v>
      </c>
      <c r="AZ72" s="113">
        <f t="shared" si="38"/>
        <v>2.0109737146035971E-5</v>
      </c>
      <c r="BA72" s="113">
        <f t="shared" si="38"/>
        <v>2.0612700167643728E-5</v>
      </c>
      <c r="BB72" s="113">
        <f t="shared" si="38"/>
        <v>2.1455918677431176E-5</v>
      </c>
      <c r="BC72" s="113">
        <f t="shared" si="38"/>
        <v>2.2583533374102769E-5</v>
      </c>
      <c r="BD72" s="113">
        <f t="shared" si="38"/>
        <v>2.3957626064493421E-5</v>
      </c>
      <c r="BE72" s="113">
        <f t="shared" si="38"/>
        <v>2.5550852989372492E-5</v>
      </c>
      <c r="BF72" s="113">
        <f t="shared" si="38"/>
        <v>2.7341994074735008E-5</v>
      </c>
      <c r="BG72" s="113">
        <f t="shared" si="38"/>
        <v>2.9313115725643842E-5</v>
      </c>
      <c r="BH72" s="113">
        <f t="shared" si="38"/>
        <v>3.144765606598096E-5</v>
      </c>
      <c r="BI72" s="113">
        <f t="shared" si="38"/>
        <v>3.3729051402156676E-5</v>
      </c>
    </row>
    <row r="73" spans="1:61">
      <c r="AF73" s="111">
        <f t="shared" si="37"/>
        <v>8.2824318684002435E-4</v>
      </c>
      <c r="AH73" s="113">
        <f t="shared" si="38"/>
        <v>5.3447734726617903E-5</v>
      </c>
      <c r="AI73" s="113">
        <f t="shared" si="38"/>
        <v>4.7490277306150327E-5</v>
      </c>
      <c r="AJ73" s="113">
        <f t="shared" si="38"/>
        <v>4.4566013202755803E-5</v>
      </c>
      <c r="AK73" s="113">
        <f t="shared" si="38"/>
        <v>4.3399276608742153E-5</v>
      </c>
      <c r="AL73" s="113">
        <f t="shared" si="38"/>
        <v>4.3359206103262681E-5</v>
      </c>
      <c r="AM73" s="113">
        <f t="shared" si="38"/>
        <v>4.4100913445117879E-5</v>
      </c>
      <c r="AN73" s="113">
        <f t="shared" si="38"/>
        <v>4.5419790057248878E-5</v>
      </c>
      <c r="AO73" s="113">
        <f t="shared" si="38"/>
        <v>4.7185224617382436E-5</v>
      </c>
      <c r="AP73" s="113">
        <f t="shared" si="38"/>
        <v>4.9307603419804969E-5</v>
      </c>
      <c r="AQ73" s="113">
        <f t="shared" si="38"/>
        <v>5.1720594533442672E-5</v>
      </c>
      <c r="AR73" s="113">
        <f t="shared" si="38"/>
        <v>4.3896278378506628E-5</v>
      </c>
      <c r="AS73" s="113">
        <f t="shared" si="38"/>
        <v>2.5912412329430767E-5</v>
      </c>
      <c r="AT73" s="113">
        <f t="shared" si="38"/>
        <v>1.840613620037667E-5</v>
      </c>
      <c r="AU73" s="113">
        <f t="shared" si="38"/>
        <v>1.4869917886757862E-5</v>
      </c>
      <c r="AV73" s="113">
        <f t="shared" si="38"/>
        <v>1.3183363504295389E-5</v>
      </c>
      <c r="AW73" s="113">
        <f t="shared" si="38"/>
        <v>1.2503718095640075E-5</v>
      </c>
      <c r="AX73" s="113">
        <f t="shared" si="38"/>
        <v>1.2448263257975884E-5</v>
      </c>
      <c r="AY73" s="113">
        <f t="shared" si="38"/>
        <v>1.2825703394130837E-5</v>
      </c>
      <c r="AZ73" s="113">
        <f t="shared" si="38"/>
        <v>1.3533195208300942E-5</v>
      </c>
      <c r="BA73" s="113">
        <f t="shared" si="38"/>
        <v>1.4512079111192875E-5</v>
      </c>
      <c r="BB73" s="113">
        <f t="shared" si="38"/>
        <v>1.5727052800480236E-5</v>
      </c>
      <c r="BC73" s="113">
        <f t="shared" si="38"/>
        <v>1.7155610738795123E-5</v>
      </c>
      <c r="BD73" s="113">
        <f t="shared" si="38"/>
        <v>1.8782319121013676E-5</v>
      </c>
      <c r="BE73" s="113">
        <f t="shared" si="38"/>
        <v>2.059550431101634E-5</v>
      </c>
      <c r="BF73" s="113">
        <f t="shared" si="38"/>
        <v>2.258520170627899E-5</v>
      </c>
      <c r="BG73" s="113">
        <f t="shared" si="38"/>
        <v>2.4741785275291864E-5</v>
      </c>
      <c r="BH73" s="113">
        <f t="shared" si="38"/>
        <v>2.7054972614293451E-5</v>
      </c>
      <c r="BI73" s="113">
        <f t="shared" si="38"/>
        <v>2.9513038885720988E-5</v>
      </c>
    </row>
    <row r="74" spans="1:61">
      <c r="AF74" s="111">
        <f t="shared" si="37"/>
        <v>5.6022110953394925E-4</v>
      </c>
      <c r="AH74" s="113">
        <f t="shared" si="38"/>
        <v>3.0614823919287555E-5</v>
      </c>
      <c r="AI74" s="113">
        <f t="shared" si="38"/>
        <v>2.9334540418057788E-5</v>
      </c>
      <c r="AJ74" s="113">
        <f t="shared" si="38"/>
        <v>2.9362325624698356E-5</v>
      </c>
      <c r="AK74" s="113">
        <f t="shared" si="38"/>
        <v>3.0206630892943626E-5</v>
      </c>
      <c r="AL74" s="113">
        <f t="shared" si="38"/>
        <v>3.1620429857192334E-5</v>
      </c>
      <c r="AM74" s="113">
        <f t="shared" si="38"/>
        <v>3.3465955966711694E-5</v>
      </c>
      <c r="AN74" s="113">
        <f t="shared" si="38"/>
        <v>3.5659080795452812E-5</v>
      </c>
      <c r="AO74" s="113">
        <f t="shared" si="38"/>
        <v>3.8143619879063014E-5</v>
      </c>
      <c r="AP74" s="113">
        <f t="shared" si="38"/>
        <v>4.0878276142389686E-5</v>
      </c>
      <c r="AQ74" s="113">
        <f t="shared" si="38"/>
        <v>4.382942022812628E-5</v>
      </c>
      <c r="AR74" s="113">
        <f t="shared" si="38"/>
        <v>1.2774713549448745E-5</v>
      </c>
      <c r="AS74" s="113">
        <f t="shared" si="38"/>
        <v>7.9187518353133981E-6</v>
      </c>
      <c r="AT74" s="113">
        <f t="shared" si="38"/>
        <v>6.1395781096008383E-6</v>
      </c>
      <c r="AU74" s="113">
        <f t="shared" si="38"/>
        <v>5.5378015915204968E-6</v>
      </c>
      <c r="AV74" s="113">
        <f t="shared" si="38"/>
        <v>5.5208401359945541E-6</v>
      </c>
      <c r="AW74" s="113">
        <f t="shared" si="38"/>
        <v>5.8649583377942617E-6</v>
      </c>
      <c r="AX74" s="113">
        <f t="shared" si="38"/>
        <v>6.4746730599077167E-6</v>
      </c>
      <c r="AY74" s="113">
        <f t="shared" si="38"/>
        <v>7.3058053011679938E-6</v>
      </c>
      <c r="AZ74" s="113">
        <f t="shared" si="38"/>
        <v>8.3368049015430009E-6</v>
      </c>
      <c r="BA74" s="113">
        <f t="shared" si="38"/>
        <v>9.5567610026417481E-6</v>
      </c>
      <c r="BB74" s="113">
        <f t="shared" si="38"/>
        <v>1.0959890921949033E-5</v>
      </c>
      <c r="BC74" s="113">
        <f t="shared" si="38"/>
        <v>1.2542773701459726E-5</v>
      </c>
      <c r="BD74" s="113">
        <f t="shared" si="38"/>
        <v>1.4302823802721556E-5</v>
      </c>
      <c r="BE74" s="113">
        <f t="shared" si="38"/>
        <v>1.623734946495532E-5</v>
      </c>
      <c r="BF74" s="113">
        <f t="shared" si="38"/>
        <v>1.8342891097519437E-5</v>
      </c>
      <c r="BG74" s="113">
        <f t="shared" si="38"/>
        <v>2.0614690285368656E-5</v>
      </c>
      <c r="BH74" s="113">
        <f t="shared" si="38"/>
        <v>2.3046212872084376E-5</v>
      </c>
      <c r="BI74" s="113">
        <f t="shared" si="38"/>
        <v>2.5628685839035194E-5</v>
      </c>
    </row>
    <row r="75" spans="1:61">
      <c r="AF75" s="111">
        <f t="shared" si="37"/>
        <v>3.7317025594649266E-4</v>
      </c>
      <c r="AH75" s="113">
        <f t="shared" si="38"/>
        <v>1.4268934335042528E-5</v>
      </c>
      <c r="AI75" s="113">
        <f t="shared" si="38"/>
        <v>1.5678359073542182E-5</v>
      </c>
      <c r="AJ75" s="113">
        <f t="shared" si="38"/>
        <v>1.7451381218740206E-5</v>
      </c>
      <c r="AK75" s="113">
        <f t="shared" si="38"/>
        <v>1.9517710370005037E-5</v>
      </c>
      <c r="AL75" s="113">
        <f t="shared" si="38"/>
        <v>2.183996721794994E-5</v>
      </c>
      <c r="AM75" s="113">
        <f t="shared" si="38"/>
        <v>2.4395440470316484E-5</v>
      </c>
      <c r="AN75" s="113">
        <f t="shared" si="38"/>
        <v>2.7168119455886953E-5</v>
      </c>
      <c r="AO75" s="113">
        <f t="shared" si="38"/>
        <v>3.0144698924831206E-5</v>
      </c>
      <c r="AP75" s="113">
        <f t="shared" si="38"/>
        <v>3.3312290065088691E-5</v>
      </c>
      <c r="AQ75" s="113">
        <f t="shared" si="38"/>
        <v>3.6656918942774003E-5</v>
      </c>
      <c r="AR75" s="113">
        <f t="shared" si="38"/>
        <v>3.5598213301283212E-7</v>
      </c>
      <c r="AS75" s="113">
        <f t="shared" si="38"/>
        <v>3.4696734815857198E-7</v>
      </c>
      <c r="AT75" s="113">
        <f t="shared" si="38"/>
        <v>4.963586384689633E-7</v>
      </c>
      <c r="AU75" s="113">
        <f t="shared" si="38"/>
        <v>7.7742443523161807E-7</v>
      </c>
      <c r="AV75" s="113">
        <f t="shared" si="38"/>
        <v>1.1976957739664773E-6</v>
      </c>
      <c r="AW75" s="113">
        <f t="shared" si="38"/>
        <v>1.7675910223330765E-6</v>
      </c>
      <c r="AX75" s="113">
        <f t="shared" si="38"/>
        <v>2.4959187209406846E-6</v>
      </c>
      <c r="AY75" s="113">
        <f t="shared" si="38"/>
        <v>3.3896392620017191E-6</v>
      </c>
      <c r="AZ75" s="113">
        <f t="shared" si="38"/>
        <v>4.4542222048524583E-6</v>
      </c>
      <c r="BA75" s="113">
        <f t="shared" si="38"/>
        <v>5.693950189356897E-6</v>
      </c>
      <c r="BB75" s="113">
        <f t="shared" si="38"/>
        <v>7.1120810225015689E-6</v>
      </c>
      <c r="BC75" s="113">
        <f t="shared" si="38"/>
        <v>8.7108824707843754E-6</v>
      </c>
      <c r="BD75" s="113">
        <f t="shared" si="38"/>
        <v>1.0491565222767755E-5</v>
      </c>
      <c r="BE75" s="113">
        <f t="shared" si="38"/>
        <v>1.2454133677239767E-5</v>
      </c>
      <c r="BF75" s="113">
        <f t="shared" si="38"/>
        <v>1.4597167475074893E-5</v>
      </c>
      <c r="BG75" s="113">
        <f t="shared" si="38"/>
        <v>1.6917541813661148E-5</v>
      </c>
      <c r="BH75" s="113">
        <f t="shared" si="38"/>
        <v>1.9410091586093875E-5</v>
      </c>
      <c r="BI75" s="113">
        <f t="shared" si="38"/>
        <v>2.2067222875868793E-5</v>
      </c>
    </row>
    <row r="76" spans="1:61">
      <c r="AF76" s="111">
        <f t="shared" si="37"/>
        <v>2.6276902522866821E-4</v>
      </c>
      <c r="AH76" s="113">
        <f t="shared" si="38"/>
        <v>4.1821532207853991E-6</v>
      </c>
      <c r="AI76" s="113">
        <f t="shared" si="38"/>
        <v>6.3636755690724242E-6</v>
      </c>
      <c r="AJ76" s="113">
        <f t="shared" si="38"/>
        <v>8.7198703716678138E-6</v>
      </c>
      <c r="AK76" s="113">
        <f t="shared" si="38"/>
        <v>1.1249432531831122E-5</v>
      </c>
      <c r="AL76" s="113">
        <f t="shared" si="38"/>
        <v>1.3956033836958981E-5</v>
      </c>
      <c r="AM76" s="113">
        <f t="shared" si="38"/>
        <v>1.6843104110278864E-5</v>
      </c>
      <c r="AN76" s="113">
        <f t="shared" si="38"/>
        <v>1.9912265526743884E-5</v>
      </c>
      <c r="AO76" s="113">
        <f t="shared" si="38"/>
        <v>2.316271534231201E-5</v>
      </c>
      <c r="AP76" s="113">
        <f t="shared" si="38"/>
        <v>2.6590823773100553E-5</v>
      </c>
      <c r="AQ76" s="113">
        <f t="shared" si="38"/>
        <v>3.0189733805594876E-5</v>
      </c>
      <c r="AR76" s="113">
        <f t="shared" si="38"/>
        <v>5.3235555285035219E-6</v>
      </c>
      <c r="AS76" s="113">
        <f t="shared" si="38"/>
        <v>2.5102534707619416E-6</v>
      </c>
      <c r="AT76" s="113">
        <f t="shared" si="38"/>
        <v>1.0596380206438821E-6</v>
      </c>
      <c r="AU76" s="113">
        <f t="shared" si="38"/>
        <v>3.1157526021295276E-7</v>
      </c>
      <c r="AV76" s="113">
        <f t="shared" si="38"/>
        <v>1.8117891108762527E-8</v>
      </c>
      <c r="AW76" s="113">
        <f t="shared" si="38"/>
        <v>6.7362776963139486E-8</v>
      </c>
      <c r="AX76" s="113">
        <f t="shared" si="38"/>
        <v>4.0245592403374955E-7</v>
      </c>
      <c r="AY76" s="113">
        <f t="shared" si="38"/>
        <v>9.9213941871834984E-7</v>
      </c>
      <c r="AZ76" s="113">
        <f t="shared" si="38"/>
        <v>1.8182883707351151E-6</v>
      </c>
      <c r="BA76" s="113">
        <f t="shared" si="38"/>
        <v>2.8699793892648432E-6</v>
      </c>
      <c r="BB76" s="113">
        <f t="shared" si="38"/>
        <v>4.1403682084929478E-6</v>
      </c>
      <c r="BC76" s="113">
        <f t="shared" si="38"/>
        <v>5.6248796820101923E-6</v>
      </c>
      <c r="BD76" s="113">
        <f t="shared" si="38"/>
        <v>7.320047432476503E-6</v>
      </c>
      <c r="BE76" s="113">
        <f t="shared" si="38"/>
        <v>9.2226855880126331E-6</v>
      </c>
      <c r="BF76" s="113">
        <f t="shared" si="38"/>
        <v>1.1329229871619148E-5</v>
      </c>
      <c r="BG76" s="113">
        <f t="shared" si="38"/>
        <v>1.3635159693150504E-5</v>
      </c>
      <c r="BH76" s="113">
        <f t="shared" si="38"/>
        <v>1.6134450917480375E-5</v>
      </c>
      <c r="BI76" s="113">
        <f t="shared" si="38"/>
        <v>1.8819029696133716E-5</v>
      </c>
    </row>
    <row r="98" spans="1:11">
      <c r="A98" s="112"/>
      <c r="B98" s="112"/>
      <c r="C98" s="112"/>
      <c r="D98" s="112"/>
      <c r="E98" s="112"/>
      <c r="F98" s="112"/>
      <c r="G98" s="112"/>
      <c r="H98" s="112"/>
      <c r="I98" s="112"/>
      <c r="J98" s="112"/>
    </row>
    <row r="99" spans="1:11">
      <c r="A99" s="123"/>
      <c r="B99" s="110"/>
      <c r="C99" s="113"/>
      <c r="D99" s="113"/>
      <c r="E99" s="113"/>
      <c r="F99" s="113"/>
      <c r="G99" s="113"/>
      <c r="H99" s="113"/>
      <c r="I99" s="113"/>
      <c r="J99" s="113"/>
      <c r="K99" s="112"/>
    </row>
    <row r="100" spans="1:11">
      <c r="A100" s="123"/>
      <c r="B100" s="110"/>
      <c r="C100" s="113"/>
      <c r="D100" s="113"/>
      <c r="E100" s="113"/>
      <c r="F100" s="113"/>
      <c r="G100" s="113"/>
      <c r="H100" s="113"/>
      <c r="I100" s="113"/>
      <c r="J100" s="113"/>
      <c r="K100" s="111"/>
    </row>
    <row r="101" spans="1:11">
      <c r="A101" s="123"/>
      <c r="B101" s="110"/>
      <c r="C101" s="113"/>
      <c r="D101" s="113"/>
      <c r="E101" s="113"/>
      <c r="F101" s="113"/>
      <c r="G101" s="113"/>
      <c r="H101" s="113"/>
      <c r="I101" s="113"/>
      <c r="J101" s="113"/>
      <c r="K101" s="111"/>
    </row>
    <row r="102" spans="1:11">
      <c r="A102" s="123"/>
      <c r="B102" s="110"/>
      <c r="C102" s="113"/>
      <c r="D102" s="113"/>
      <c r="E102" s="113"/>
      <c r="F102" s="113"/>
      <c r="G102" s="113"/>
      <c r="H102" s="113"/>
      <c r="I102" s="113"/>
      <c r="J102" s="113"/>
      <c r="K102" s="111"/>
    </row>
    <row r="103" spans="1:11">
      <c r="A103" s="123"/>
      <c r="B103" s="110"/>
      <c r="C103" s="113"/>
      <c r="D103" s="113"/>
      <c r="E103" s="113"/>
      <c r="F103" s="113"/>
      <c r="G103" s="113"/>
      <c r="H103" s="113"/>
      <c r="I103" s="113"/>
      <c r="J103" s="113"/>
      <c r="K103" s="111"/>
    </row>
    <row r="104" spans="1:11">
      <c r="A104" s="123"/>
      <c r="B104" s="110"/>
      <c r="C104" s="113"/>
      <c r="D104" s="113"/>
      <c r="E104" s="113"/>
      <c r="F104" s="113"/>
      <c r="G104" s="113"/>
      <c r="H104" s="113"/>
      <c r="I104" s="113"/>
      <c r="J104" s="113"/>
      <c r="K104" s="111"/>
    </row>
    <row r="105" spans="1:11">
      <c r="A105" s="123"/>
      <c r="B105" s="110"/>
      <c r="C105" s="113"/>
      <c r="D105" s="113"/>
      <c r="E105" s="113"/>
      <c r="F105" s="113"/>
      <c r="G105" s="113"/>
      <c r="H105" s="113"/>
      <c r="I105" s="113"/>
      <c r="J105" s="113"/>
      <c r="K105" s="111"/>
    </row>
    <row r="106" spans="1:11">
      <c r="A106" s="123"/>
      <c r="B106" s="110"/>
      <c r="C106" s="113"/>
      <c r="D106" s="113"/>
      <c r="E106" s="113"/>
      <c r="F106" s="113"/>
      <c r="G106" s="113"/>
      <c r="H106" s="113"/>
      <c r="I106" s="113"/>
      <c r="J106" s="113"/>
      <c r="K106" s="111"/>
    </row>
    <row r="107" spans="1:11">
      <c r="A107" s="123"/>
      <c r="B107" s="110"/>
      <c r="C107" s="113"/>
      <c r="D107" s="113"/>
      <c r="E107" s="113"/>
      <c r="F107" s="113"/>
      <c r="G107" s="113"/>
      <c r="H107" s="113"/>
      <c r="I107" s="113"/>
      <c r="J107" s="113"/>
      <c r="K107" s="111"/>
    </row>
    <row r="108" spans="1:11">
      <c r="A108" s="123"/>
      <c r="B108" s="110"/>
      <c r="C108" s="113"/>
      <c r="D108" s="113"/>
      <c r="E108" s="113"/>
      <c r="F108" s="113"/>
      <c r="G108" s="113"/>
      <c r="H108" s="113"/>
      <c r="I108" s="113"/>
      <c r="J108" s="113"/>
      <c r="K108" s="111"/>
    </row>
    <row r="109" spans="1:11">
      <c r="A109" s="123"/>
      <c r="B109" s="110"/>
      <c r="C109" s="113"/>
      <c r="D109" s="113"/>
      <c r="E109" s="113"/>
      <c r="F109" s="113"/>
      <c r="G109" s="113"/>
      <c r="H109" s="113"/>
      <c r="I109" s="113"/>
      <c r="J109" s="113"/>
      <c r="K109" s="111"/>
    </row>
    <row r="110" spans="1:11">
      <c r="A110" s="123"/>
      <c r="B110" s="110"/>
      <c r="C110" s="113"/>
      <c r="D110" s="113"/>
      <c r="E110" s="113"/>
      <c r="F110" s="113"/>
      <c r="G110" s="113"/>
      <c r="H110" s="113"/>
      <c r="I110" s="113"/>
      <c r="J110" s="113"/>
      <c r="K110" s="111"/>
    </row>
    <row r="111" spans="1:11">
      <c r="A111" s="123"/>
      <c r="B111" s="110"/>
      <c r="C111" s="113"/>
      <c r="D111" s="113"/>
      <c r="E111" s="113"/>
      <c r="F111" s="113"/>
      <c r="G111" s="113"/>
      <c r="H111" s="113"/>
      <c r="I111" s="113"/>
      <c r="J111" s="113"/>
      <c r="K111" s="111"/>
    </row>
    <row r="112" spans="1:11">
      <c r="A112" s="123"/>
      <c r="B112" s="110"/>
      <c r="C112" s="113"/>
      <c r="D112" s="113"/>
      <c r="E112" s="113"/>
      <c r="F112" s="113"/>
      <c r="G112" s="113"/>
      <c r="H112" s="113"/>
      <c r="I112" s="113"/>
      <c r="J112" s="113"/>
      <c r="K112" s="111"/>
    </row>
    <row r="113" spans="1:18">
      <c r="A113" s="123"/>
      <c r="B113" s="110"/>
      <c r="C113" s="113"/>
      <c r="D113" s="113"/>
      <c r="E113" s="113"/>
      <c r="F113" s="113"/>
      <c r="G113" s="113"/>
      <c r="H113" s="113"/>
      <c r="I113" s="113"/>
      <c r="J113" s="113"/>
    </row>
    <row r="114" spans="1:18">
      <c r="A114" s="123"/>
      <c r="B114" s="110"/>
      <c r="C114" s="113"/>
      <c r="D114" s="113"/>
      <c r="E114" s="113"/>
      <c r="F114" s="113"/>
      <c r="G114" s="113"/>
      <c r="H114" s="113"/>
      <c r="I114" s="113"/>
      <c r="J114" s="113"/>
      <c r="K114" s="111"/>
      <c r="M114" s="111"/>
      <c r="N114" s="111"/>
      <c r="O114" s="111"/>
      <c r="P114" s="111"/>
      <c r="Q114" s="111"/>
      <c r="R114" s="111"/>
    </row>
    <row r="115" spans="1:18">
      <c r="A115" s="123"/>
      <c r="B115" s="110"/>
      <c r="C115" s="113"/>
      <c r="D115" s="113"/>
      <c r="E115" s="113"/>
      <c r="F115" s="113"/>
      <c r="G115" s="113"/>
      <c r="H115" s="113"/>
      <c r="I115" s="113"/>
      <c r="J115" s="113"/>
      <c r="K115" s="111"/>
      <c r="M115" s="111"/>
      <c r="N115" s="111"/>
      <c r="O115" s="111"/>
      <c r="P115" s="111"/>
      <c r="Q115" s="111"/>
      <c r="R115" s="111"/>
    </row>
    <row r="116" spans="1:18">
      <c r="A116" s="123"/>
      <c r="B116" s="110"/>
      <c r="C116" s="113"/>
      <c r="D116" s="113"/>
      <c r="E116" s="113"/>
      <c r="F116" s="113"/>
      <c r="G116" s="113"/>
      <c r="H116" s="113"/>
      <c r="I116" s="113"/>
      <c r="J116" s="113"/>
      <c r="K116" s="111"/>
      <c r="M116" s="111"/>
      <c r="N116" s="111"/>
      <c r="O116" s="111"/>
      <c r="P116" s="111"/>
      <c r="Q116" s="111"/>
      <c r="R116" s="111"/>
    </row>
    <row r="117" spans="1:18">
      <c r="A117" s="111"/>
      <c r="B117" s="110"/>
      <c r="C117" s="110"/>
      <c r="F117" s="115"/>
      <c r="G117" s="111"/>
      <c r="K117" s="111"/>
      <c r="M117" s="111"/>
      <c r="N117" s="111"/>
      <c r="O117" s="111"/>
      <c r="P117" s="111"/>
      <c r="Q117" s="111"/>
      <c r="R117" s="111"/>
    </row>
    <row r="118" spans="1:18">
      <c r="A118" s="111"/>
      <c r="B118" s="110"/>
      <c r="C118" s="111"/>
      <c r="D118" s="111"/>
      <c r="E118" s="111"/>
      <c r="F118" s="111"/>
      <c r="G118" s="111"/>
      <c r="H118" s="111"/>
      <c r="I118" s="111"/>
      <c r="J118" s="111"/>
      <c r="K118" s="111"/>
      <c r="M118" s="111"/>
      <c r="N118" s="111"/>
      <c r="O118" s="111"/>
      <c r="P118" s="111"/>
      <c r="Q118" s="111"/>
      <c r="R118" s="111"/>
    </row>
    <row r="119" spans="1:18">
      <c r="A119" s="111"/>
      <c r="B119" s="110"/>
      <c r="C119" s="111"/>
      <c r="D119" s="111"/>
      <c r="E119" s="111"/>
      <c r="F119" s="111"/>
      <c r="G119" s="111"/>
      <c r="H119" s="111"/>
      <c r="I119" s="111"/>
      <c r="J119" s="111"/>
      <c r="K119" s="111"/>
      <c r="M119" s="111"/>
      <c r="N119" s="111"/>
      <c r="O119" s="111"/>
      <c r="P119" s="111"/>
      <c r="Q119" s="111"/>
      <c r="R119" s="111"/>
    </row>
    <row r="120" spans="1:18">
      <c r="K120" s="111"/>
      <c r="L120" s="124"/>
      <c r="M120" s="125"/>
      <c r="N120" s="125"/>
      <c r="O120" s="111"/>
      <c r="P120" s="125"/>
      <c r="Q120" s="111"/>
      <c r="R120" s="111"/>
    </row>
    <row r="121" spans="1:18">
      <c r="K121" s="111"/>
      <c r="M121" s="111"/>
      <c r="N121" s="111"/>
      <c r="O121" s="111"/>
      <c r="P121" s="111"/>
      <c r="Q121" s="111"/>
      <c r="R121" s="111"/>
    </row>
    <row r="122" spans="1:18">
      <c r="K122" s="111"/>
      <c r="M122" s="111"/>
      <c r="N122" s="111"/>
      <c r="O122" s="111"/>
      <c r="P122" s="111"/>
      <c r="Q122" s="111"/>
      <c r="R122" s="111"/>
    </row>
    <row r="123" spans="1:18">
      <c r="K123" s="111"/>
      <c r="M123" s="111"/>
      <c r="N123" s="111"/>
      <c r="O123" s="111"/>
      <c r="P123" s="111"/>
      <c r="Q123" s="111"/>
      <c r="R123" s="111"/>
    </row>
    <row r="124" spans="1:18">
      <c r="K124" s="111"/>
      <c r="M124" s="111"/>
      <c r="N124" s="111"/>
      <c r="O124" s="111"/>
      <c r="P124" s="111"/>
      <c r="Q124" s="111"/>
      <c r="R124" s="111"/>
    </row>
    <row r="125" spans="1:18">
      <c r="K125" s="111"/>
      <c r="M125" s="111"/>
      <c r="N125" s="111"/>
      <c r="O125" s="111"/>
      <c r="P125" s="111"/>
      <c r="Q125" s="111"/>
      <c r="R125" s="111"/>
    </row>
  </sheetData>
  <dataConsolidate/>
  <phoneticPr fontId="26" type="noConversion"/>
  <printOptions gridLines="1" gridLinesSet="0"/>
  <pageMargins left="0.75" right="0.37" top="0.66" bottom="0.72" header="0.5" footer="0.5"/>
  <headerFooter alignWithMargins="0">
    <oddHeader>&amp;F</oddHeader>
    <oddFooter>&amp;LDr. David Content&amp;CPage &amp;P&amp;R&amp;D</oddFooter>
  </headerFooter>
  <drawing r:id="rId1"/>
  <legacyDrawing r:id="rId2"/>
  <oleObjects>
    <oleObject progId="Word.Document.6" shapeId="461825" r:id="rId3"/>
  </oleObjects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9" enableFormatConditionsCalculation="0">
    <pageSetUpPr fitToPage="1"/>
  </sheetPr>
  <dimension ref="A1:BI125"/>
  <sheetViews>
    <sheetView zoomScale="75" zoomScaleNormal="75" zoomScalePageLayoutView="75" workbookViewId="0">
      <selection activeCell="D6" sqref="D6"/>
    </sheetView>
  </sheetViews>
  <sheetFormatPr baseColWidth="10" defaultColWidth="9.33203125" defaultRowHeight="13"/>
  <cols>
    <col min="1" max="1" width="21.1640625" style="107" customWidth="1"/>
    <col min="2" max="2" width="9.33203125" style="107"/>
    <col min="3" max="3" width="9.5" style="107" customWidth="1"/>
    <col min="4" max="4" width="8" style="107" customWidth="1"/>
    <col min="5" max="5" width="9.1640625" style="107" customWidth="1"/>
    <col min="6" max="12" width="7.83203125" style="107" customWidth="1"/>
    <col min="13" max="14" width="8.5" style="107" customWidth="1"/>
    <col min="15" max="15" width="9.5" style="107" customWidth="1"/>
    <col min="16" max="16" width="7.83203125" style="107" customWidth="1"/>
    <col min="17" max="17" width="9.83203125" style="107" customWidth="1"/>
    <col min="18" max="18" width="8.83203125" style="107" customWidth="1"/>
    <col min="19" max="26" width="10.1640625" style="107" customWidth="1"/>
    <col min="27" max="28" width="9.33203125" style="107"/>
    <col min="29" max="29" width="12" style="107" customWidth="1"/>
    <col min="30" max="30" width="12.33203125" style="107" bestFit="1" customWidth="1"/>
    <col min="31" max="33" width="11" style="107" bestFit="1" customWidth="1"/>
    <col min="34" max="16384" width="9.33203125" style="107"/>
  </cols>
  <sheetData>
    <row r="1" spans="1:61">
      <c r="A1" s="107" t="s">
        <v>210</v>
      </c>
      <c r="D1" s="107" t="s">
        <v>211</v>
      </c>
      <c r="E1" s="108" t="s">
        <v>212</v>
      </c>
      <c r="M1" s="107" t="s">
        <v>213</v>
      </c>
      <c r="Q1" s="107" t="s">
        <v>214</v>
      </c>
    </row>
    <row r="2" spans="1:61">
      <c r="Q2" s="107" t="s">
        <v>215</v>
      </c>
    </row>
    <row r="3" spans="1:61">
      <c r="A3" s="107" t="s">
        <v>216</v>
      </c>
      <c r="B3" s="107" t="s">
        <v>217</v>
      </c>
      <c r="D3" s="107">
        <v>0.89</v>
      </c>
    </row>
    <row r="4" spans="1:61">
      <c r="A4" s="107" t="s">
        <v>218</v>
      </c>
      <c r="B4" s="107" t="s">
        <v>258</v>
      </c>
      <c r="D4" s="107">
        <v>7.1500000000000001E-3</v>
      </c>
      <c r="E4" s="109" t="s">
        <v>219</v>
      </c>
      <c r="M4" s="109"/>
      <c r="N4" s="109"/>
      <c r="Q4" s="107" t="s">
        <v>220</v>
      </c>
      <c r="S4" s="107" t="s">
        <v>221</v>
      </c>
      <c r="U4" s="107" t="s">
        <v>222</v>
      </c>
      <c r="AC4" s="110"/>
      <c r="AD4" s="110"/>
      <c r="AE4" s="110"/>
    </row>
    <row r="5" spans="1:61">
      <c r="A5" s="107" t="s">
        <v>115</v>
      </c>
      <c r="B5" s="107" t="s">
        <v>116</v>
      </c>
      <c r="D5" s="107">
        <v>5.65</v>
      </c>
      <c r="E5" s="107" t="s">
        <v>117</v>
      </c>
      <c r="L5" s="107" t="s">
        <v>118</v>
      </c>
      <c r="M5" s="111">
        <f>2*PI()*n</f>
        <v>4.492477494633404E-2</v>
      </c>
      <c r="N5" s="109" t="s">
        <v>219</v>
      </c>
      <c r="Q5" s="107" t="s">
        <v>119</v>
      </c>
      <c r="R5" s="107">
        <v>1.5669999999999999</v>
      </c>
      <c r="S5" s="107">
        <v>1.5001</v>
      </c>
      <c r="U5" s="107">
        <v>1.5669999999999999</v>
      </c>
      <c r="AC5" s="110"/>
      <c r="AD5" s="110"/>
      <c r="AE5" s="110"/>
    </row>
    <row r="6" spans="1:61">
      <c r="A6" s="107" t="s">
        <v>120</v>
      </c>
      <c r="B6" s="107" t="s">
        <v>121</v>
      </c>
      <c r="D6" s="107">
        <v>1.5</v>
      </c>
      <c r="E6" s="107" t="s">
        <v>117</v>
      </c>
      <c r="L6" s="107" t="s">
        <v>122</v>
      </c>
      <c r="M6" s="111">
        <f>1/$D$4*COS(PI()/180*$D$6)</f>
        <v>139.81221328329474</v>
      </c>
      <c r="N6" s="107" t="s">
        <v>333</v>
      </c>
      <c r="Q6" s="107" t="s">
        <v>123</v>
      </c>
      <c r="R6" s="107">
        <v>9.7999999999999997E-3</v>
      </c>
      <c r="S6" s="107">
        <v>4.0000000000000001E-3</v>
      </c>
      <c r="U6" s="107">
        <v>9.7999999999999997E-3</v>
      </c>
      <c r="AC6" s="110"/>
      <c r="AD6" s="110"/>
      <c r="AE6" s="110"/>
    </row>
    <row r="7" spans="1:61">
      <c r="A7" s="107" t="s">
        <v>124</v>
      </c>
      <c r="B7" s="107" t="s">
        <v>125</v>
      </c>
      <c r="D7" s="107">
        <v>0.1</v>
      </c>
      <c r="E7" s="107" t="s">
        <v>117</v>
      </c>
      <c r="Q7" s="107" t="s">
        <v>126</v>
      </c>
      <c r="R7" s="107">
        <v>-4.4000000000000002E-4</v>
      </c>
      <c r="S7" s="107">
        <v>1.6000000000000001E-4</v>
      </c>
      <c r="U7" s="107">
        <v>-4.4000000000000002E-4</v>
      </c>
      <c r="AC7" s="110"/>
      <c r="AD7" s="110"/>
      <c r="AE7" s="110"/>
    </row>
    <row r="8" spans="1:61">
      <c r="AC8" s="111"/>
      <c r="AD8" s="111"/>
      <c r="AE8" s="111"/>
    </row>
    <row r="9" spans="1:61">
      <c r="A9" s="107" t="s">
        <v>127</v>
      </c>
      <c r="B9" s="107">
        <v>2.2499999999999999E-2</v>
      </c>
      <c r="AC9" s="111"/>
      <c r="AD9" s="111"/>
      <c r="AE9" s="111"/>
    </row>
    <row r="10" spans="1:61">
      <c r="C10" s="107" t="s">
        <v>128</v>
      </c>
      <c r="G10" s="107" t="s">
        <v>129</v>
      </c>
      <c r="O10" s="107" t="s">
        <v>130</v>
      </c>
      <c r="AA10" s="107">
        <v>-1</v>
      </c>
      <c r="AB10" s="107">
        <v>-2</v>
      </c>
      <c r="AC10" s="107">
        <v>-3</v>
      </c>
      <c r="AD10" s="107">
        <v>0</v>
      </c>
      <c r="AE10" s="107">
        <v>1</v>
      </c>
      <c r="AF10" s="107">
        <v>2</v>
      </c>
      <c r="AG10" s="107">
        <v>3</v>
      </c>
      <c r="AH10" s="107">
        <v>4</v>
      </c>
      <c r="AI10" s="107">
        <f t="shared" ref="AI10:AQ10" si="0">AH10+1</f>
        <v>5</v>
      </c>
      <c r="AJ10" s="107">
        <f t="shared" si="0"/>
        <v>6</v>
      </c>
      <c r="AK10" s="107">
        <f t="shared" si="0"/>
        <v>7</v>
      </c>
      <c r="AL10" s="107">
        <f t="shared" si="0"/>
        <v>8</v>
      </c>
      <c r="AM10" s="107">
        <f t="shared" si="0"/>
        <v>9</v>
      </c>
      <c r="AN10" s="107">
        <f t="shared" si="0"/>
        <v>10</v>
      </c>
      <c r="AO10" s="107">
        <f t="shared" si="0"/>
        <v>11</v>
      </c>
      <c r="AP10" s="107">
        <f t="shared" si="0"/>
        <v>12</v>
      </c>
      <c r="AQ10" s="107">
        <f t="shared" si="0"/>
        <v>13</v>
      </c>
      <c r="AR10" s="107">
        <v>-4</v>
      </c>
      <c r="AS10" s="107">
        <f t="shared" ref="AS10:BI10" si="1">AR10-1</f>
        <v>-5</v>
      </c>
      <c r="AT10" s="107">
        <f t="shared" si="1"/>
        <v>-6</v>
      </c>
      <c r="AU10" s="107">
        <f t="shared" si="1"/>
        <v>-7</v>
      </c>
      <c r="AV10" s="107">
        <f t="shared" si="1"/>
        <v>-8</v>
      </c>
      <c r="AW10" s="107">
        <f t="shared" si="1"/>
        <v>-9</v>
      </c>
      <c r="AX10" s="107">
        <f t="shared" si="1"/>
        <v>-10</v>
      </c>
      <c r="AY10" s="107">
        <f t="shared" si="1"/>
        <v>-11</v>
      </c>
      <c r="AZ10" s="107">
        <f t="shared" si="1"/>
        <v>-12</v>
      </c>
      <c r="BA10" s="107">
        <f t="shared" si="1"/>
        <v>-13</v>
      </c>
      <c r="BB10" s="107">
        <f t="shared" si="1"/>
        <v>-14</v>
      </c>
      <c r="BC10" s="107">
        <f t="shared" si="1"/>
        <v>-15</v>
      </c>
      <c r="BD10" s="107">
        <f t="shared" si="1"/>
        <v>-16</v>
      </c>
      <c r="BE10" s="107">
        <f t="shared" si="1"/>
        <v>-17</v>
      </c>
      <c r="BF10" s="107">
        <f t="shared" si="1"/>
        <v>-18</v>
      </c>
      <c r="BG10" s="107">
        <f t="shared" si="1"/>
        <v>-19</v>
      </c>
      <c r="BH10" s="107">
        <f t="shared" si="1"/>
        <v>-20</v>
      </c>
      <c r="BI10" s="107">
        <f t="shared" si="1"/>
        <v>-21</v>
      </c>
    </row>
    <row r="11" spans="1:61" s="112" customFormat="1" ht="39">
      <c r="A11" s="112" t="s">
        <v>131</v>
      </c>
      <c r="B11" s="112" t="s">
        <v>132</v>
      </c>
      <c r="C11" s="112" t="str">
        <f t="shared" ref="C11:H11" si="2">"E"&amp;AA$10</f>
        <v>E-1</v>
      </c>
      <c r="D11" s="112" t="str">
        <f t="shared" si="2"/>
        <v>E-2</v>
      </c>
      <c r="E11" s="112" t="str">
        <f t="shared" si="2"/>
        <v>E-3</v>
      </c>
      <c r="F11" s="112" t="str">
        <f t="shared" si="2"/>
        <v>E0</v>
      </c>
      <c r="G11" s="112" t="str">
        <f t="shared" si="2"/>
        <v>E1</v>
      </c>
      <c r="H11" s="112" t="str">
        <f t="shared" si="2"/>
        <v>E2</v>
      </c>
      <c r="I11" s="112" t="s">
        <v>133</v>
      </c>
      <c r="J11" s="112" t="s">
        <v>134</v>
      </c>
      <c r="K11" s="112" t="s">
        <v>135</v>
      </c>
      <c r="L11" s="112" t="s">
        <v>136</v>
      </c>
      <c r="M11" s="112" t="s">
        <v>354</v>
      </c>
      <c r="N11" s="112" t="s">
        <v>186</v>
      </c>
      <c r="O11" s="112" t="s">
        <v>137</v>
      </c>
      <c r="P11" s="112" t="s">
        <v>138</v>
      </c>
      <c r="Q11" s="112" t="s">
        <v>139</v>
      </c>
      <c r="R11" s="112" t="s">
        <v>140</v>
      </c>
      <c r="S11" s="112" t="s">
        <v>141</v>
      </c>
      <c r="T11" s="112" t="s">
        <v>142</v>
      </c>
      <c r="U11" s="112" t="s">
        <v>143</v>
      </c>
      <c r="V11" s="112" t="s">
        <v>144</v>
      </c>
      <c r="W11" s="112" t="s">
        <v>145</v>
      </c>
      <c r="X11" s="112" t="s">
        <v>146</v>
      </c>
      <c r="Y11" s="112" t="s">
        <v>147</v>
      </c>
      <c r="Z11" s="112" t="s">
        <v>148</v>
      </c>
      <c r="AA11" s="112" t="str">
        <f t="shared" ref="AA11:BI11" si="3">"G"&amp;AA$10</f>
        <v>G-1</v>
      </c>
      <c r="AB11" s="112" t="str">
        <f t="shared" si="3"/>
        <v>G-2</v>
      </c>
      <c r="AC11" s="112" t="str">
        <f t="shared" si="3"/>
        <v>G-3</v>
      </c>
      <c r="AD11" s="112" t="str">
        <f t="shared" si="3"/>
        <v>G0</v>
      </c>
      <c r="AE11" s="112" t="str">
        <f t="shared" si="3"/>
        <v>G1</v>
      </c>
      <c r="AF11" s="112" t="str">
        <f t="shared" si="3"/>
        <v>G2</v>
      </c>
      <c r="AG11" s="112" t="str">
        <f t="shared" si="3"/>
        <v>G3</v>
      </c>
      <c r="AH11" s="112" t="str">
        <f t="shared" si="3"/>
        <v>G4</v>
      </c>
      <c r="AI11" s="112" t="str">
        <f t="shared" si="3"/>
        <v>G5</v>
      </c>
      <c r="AJ11" s="112" t="str">
        <f t="shared" si="3"/>
        <v>G6</v>
      </c>
      <c r="AK11" s="112" t="str">
        <f t="shared" si="3"/>
        <v>G7</v>
      </c>
      <c r="AL11" s="112" t="str">
        <f t="shared" si="3"/>
        <v>G8</v>
      </c>
      <c r="AM11" s="112" t="str">
        <f t="shared" si="3"/>
        <v>G9</v>
      </c>
      <c r="AN11" s="112" t="str">
        <f t="shared" si="3"/>
        <v>G10</v>
      </c>
      <c r="AO11" s="112" t="str">
        <f t="shared" si="3"/>
        <v>G11</v>
      </c>
      <c r="AP11" s="112" t="str">
        <f t="shared" si="3"/>
        <v>G12</v>
      </c>
      <c r="AQ11" s="112" t="str">
        <f t="shared" si="3"/>
        <v>G13</v>
      </c>
      <c r="AR11" s="112" t="str">
        <f t="shared" si="3"/>
        <v>G-4</v>
      </c>
      <c r="AS11" s="112" t="str">
        <f t="shared" si="3"/>
        <v>G-5</v>
      </c>
      <c r="AT11" s="112" t="str">
        <f t="shared" si="3"/>
        <v>G-6</v>
      </c>
      <c r="AU11" s="112" t="str">
        <f t="shared" si="3"/>
        <v>G-7</v>
      </c>
      <c r="AV11" s="112" t="str">
        <f t="shared" si="3"/>
        <v>G-8</v>
      </c>
      <c r="AW11" s="112" t="str">
        <f t="shared" si="3"/>
        <v>G-9</v>
      </c>
      <c r="AX11" s="112" t="str">
        <f t="shared" si="3"/>
        <v>G-10</v>
      </c>
      <c r="AY11" s="112" t="str">
        <f t="shared" si="3"/>
        <v>G-11</v>
      </c>
      <c r="AZ11" s="112" t="str">
        <f t="shared" si="3"/>
        <v>G-12</v>
      </c>
      <c r="BA11" s="112" t="str">
        <f t="shared" si="3"/>
        <v>G-13</v>
      </c>
      <c r="BB11" s="112" t="str">
        <f t="shared" si="3"/>
        <v>G-14</v>
      </c>
      <c r="BC11" s="112" t="str">
        <f t="shared" si="3"/>
        <v>G-15</v>
      </c>
      <c r="BD11" s="112" t="str">
        <f t="shared" si="3"/>
        <v>G-16</v>
      </c>
      <c r="BE11" s="112" t="str">
        <f t="shared" si="3"/>
        <v>G-17</v>
      </c>
      <c r="BF11" s="112" t="str">
        <f t="shared" si="3"/>
        <v>G-18</v>
      </c>
      <c r="BG11" s="112" t="str">
        <f t="shared" si="3"/>
        <v>G-19</v>
      </c>
      <c r="BH11" s="112" t="str">
        <f t="shared" si="3"/>
        <v>G-20</v>
      </c>
      <c r="BI11" s="112" t="str">
        <f t="shared" si="3"/>
        <v>G-21</v>
      </c>
    </row>
    <row r="12" spans="1:61" s="112" customFormat="1">
      <c r="A12" s="113">
        <v>1.6</v>
      </c>
      <c r="B12" s="110">
        <f t="shared" ref="B12:B53" si="4">$D$4*A12/SIN(PI()/180*$D$6)</f>
        <v>0.43702573216142349</v>
      </c>
      <c r="C12" s="161">
        <f t="shared" ref="C12:H31" si="5">$D$3*$S12/(AA12^2/$D$4^2)*2*(1-COS(AA12*$M$6))</f>
        <v>0.58526278621510563</v>
      </c>
      <c r="D12" s="113">
        <f t="shared" si="5"/>
        <v>0.11430994078973089</v>
      </c>
      <c r="E12" s="113">
        <f t="shared" si="5"/>
        <v>1.9031033517122764E-2</v>
      </c>
      <c r="F12" s="113">
        <f t="shared" si="5"/>
        <v>3.260499654313985E-2</v>
      </c>
      <c r="G12" s="113">
        <f t="shared" si="5"/>
        <v>1.0567431275600917E-2</v>
      </c>
      <c r="H12" s="113">
        <f t="shared" si="5"/>
        <v>5.1982921487768764E-3</v>
      </c>
      <c r="I12" s="113"/>
      <c r="J12" s="113"/>
      <c r="K12" s="113">
        <f t="shared" ref="K12:K53" si="6">L12+N12</f>
        <v>0.77374921951640141</v>
      </c>
      <c r="L12" s="107">
        <f t="shared" ref="L12:L53" si="7">SUM(C12:H12)</f>
        <v>0.76697448048947692</v>
      </c>
      <c r="M12" s="111">
        <f t="shared" ref="M12:M53" si="8">SQRT(2*1/(1+R12))</f>
        <v>0.88203160606780773</v>
      </c>
      <c r="N12" s="113">
        <f t="shared" ref="N12:N53" si="9">($R12-$Q12)/($R12+$Q12)</f>
        <v>6.7747390269245296E-3</v>
      </c>
      <c r="O12" s="114">
        <f t="shared" ref="O12:O53" si="10">2*PI()/$A12</f>
        <v>3.9269908169872414</v>
      </c>
      <c r="P12" s="111">
        <f t="shared" ref="P12:P53" si="11">W12</f>
        <v>3.4948623599306954</v>
      </c>
      <c r="Q12" s="113">
        <v>1.549621211275102</v>
      </c>
      <c r="R12" s="107">
        <f t="shared" ref="R12:R53" si="12">R$5+R$6/$A12^2+R$7/$A12^4</f>
        <v>1.5707609863281251</v>
      </c>
      <c r="S12" s="115">
        <v>0.90808636363636375</v>
      </c>
      <c r="T12" s="107">
        <f>$D$5</f>
        <v>5.65</v>
      </c>
      <c r="U12" s="111">
        <f t="shared" ref="U12:U53" si="13">180/PI()*ASIN(SIN($T12*PI()/180)/$Q12)</f>
        <v>3.6425993539072352</v>
      </c>
      <c r="V12" s="111">
        <f t="shared" ref="V12:V53" si="14">U12-$D$7</f>
        <v>3.5425993539072351</v>
      </c>
      <c r="W12" s="111">
        <f t="shared" ref="W12:W53" si="15">180/PI()*ASIN($Q12*SIN($V12*PI()/180)/$R12)</f>
        <v>3.4948623599306954</v>
      </c>
      <c r="X12" s="111">
        <f t="shared" ref="X12:X53" si="16">180/PI()*ASIN($D$4*1*$A12+$R12*SIN(PI()/180*$W12))</f>
        <v>6.1534763307191351</v>
      </c>
      <c r="Y12" s="116"/>
      <c r="Z12" s="116">
        <v>5.2728322120765422E-6</v>
      </c>
      <c r="AA12" s="113">
        <f t="shared" ref="AA12:AP27" si="17">$M$5*AA$10+($O12*$R12*COS(PI()/180*$P12)-($O12^2*1^2-($O12*$R12*SIN(PI()/180*$P12)+$M$5*AA$10)^2)^0.5)*TAN(PI()/180*$D$6)</f>
        <v>1.3833398205910744E-2</v>
      </c>
      <c r="AB12" s="113">
        <f t="shared" si="17"/>
        <v>-3.1184120598029705E-2</v>
      </c>
      <c r="AC12" s="113">
        <f t="shared" si="17"/>
        <v>-7.6188073050650451E-2</v>
      </c>
      <c r="AD12" s="113">
        <f t="shared" si="17"/>
        <v>5.8864520236994823E-2</v>
      </c>
      <c r="AE12" s="113">
        <f t="shared" si="17"/>
        <v>0.10390928794451468</v>
      </c>
      <c r="AF12" s="113">
        <f t="shared" si="17"/>
        <v>0.14896774943690935</v>
      </c>
      <c r="AG12" s="113">
        <f t="shared" si="17"/>
        <v>0.1940399585795787</v>
      </c>
      <c r="AH12" s="113">
        <f t="shared" si="17"/>
        <v>0.23912597510530317</v>
      </c>
      <c r="AI12" s="113">
        <f t="shared" si="17"/>
        <v>0.28422586473780692</v>
      </c>
      <c r="AJ12" s="113">
        <f t="shared" si="17"/>
        <v>0.32933969932907253</v>
      </c>
      <c r="AK12" s="113">
        <f t="shared" si="17"/>
        <v>0.37446755701109358</v>
      </c>
      <c r="AL12" s="113">
        <f t="shared" si="17"/>
        <v>0.41960952236283322</v>
      </c>
      <c r="AM12" s="113">
        <f t="shared" si="17"/>
        <v>0.46476568659324863</v>
      </c>
      <c r="AN12" s="113">
        <f t="shared" si="17"/>
        <v>0.509936147741339</v>
      </c>
      <c r="AO12" s="113">
        <f t="shared" si="17"/>
        <v>0.55512101089428367</v>
      </c>
      <c r="AP12" s="113">
        <f t="shared" si="17"/>
        <v>0.60032038842485269</v>
      </c>
      <c r="AQ12" s="113">
        <f t="shared" ref="AQ12:BF27" si="18">$M$5*AQ$10+($O12*$R12*COS(PI()/180*$P12)-($O12^2*1^2-($O12*$R12*SIN(PI()/180*$P12)+$M$5*AQ$10)^2)^0.5)*TAN(PI()/180*$D$6)</f>
        <v>0.64553440024940845</v>
      </c>
      <c r="AR12" s="113">
        <f t="shared" si="18"/>
        <v>-0.12117849052825856</v>
      </c>
      <c r="AS12" s="113">
        <f t="shared" si="18"/>
        <v>-0.16615539897021769</v>
      </c>
      <c r="AT12" s="113">
        <f t="shared" si="18"/>
        <v>-0.21111881893043632</v>
      </c>
      <c r="AU12" s="113">
        <f t="shared" si="18"/>
        <v>-0.25606876561801095</v>
      </c>
      <c r="AV12" s="113">
        <f t="shared" si="18"/>
        <v>-0.30100524892721198</v>
      </c>
      <c r="AW12" s="113">
        <f t="shared" si="18"/>
        <v>-0.3459282734569506</v>
      </c>
      <c r="AX12" s="113">
        <f t="shared" si="18"/>
        <v>-0.39083783851981629</v>
      </c>
      <c r="AY12" s="113">
        <f t="shared" si="18"/>
        <v>-0.43573393814072658</v>
      </c>
      <c r="AZ12" s="113">
        <f t="shared" si="18"/>
        <v>-0.48061656104518241</v>
      </c>
      <c r="BA12" s="113">
        <f t="shared" si="18"/>
        <v>-0.52548569063707518</v>
      </c>
      <c r="BB12" s="113">
        <f t="shared" si="18"/>
        <v>-0.57034130496594437</v>
      </c>
      <c r="BC12" s="113">
        <f t="shared" si="18"/>
        <v>-0.61518337668353351</v>
      </c>
      <c r="BD12" s="113">
        <f t="shared" si="18"/>
        <v>-0.66001187298944286</v>
      </c>
      <c r="BE12" s="113">
        <f t="shared" si="18"/>
        <v>-0.70482675556562746</v>
      </c>
      <c r="BF12" s="113">
        <f t="shared" si="18"/>
        <v>-0.74962798049943069</v>
      </c>
      <c r="BG12" s="113">
        <f t="shared" ref="BG12:BI27" si="19">$M$5*BG$10+($O12*$R12*COS(PI()/180*$P12)-($O12^2*1^2-($O12*$R12*SIN(PI()/180*$P12)+$M$5*BG$10)^2)^0.5)*TAN(PI()/180*$D$6)</f>
        <v>-0.79441549819479063</v>
      </c>
      <c r="BH12" s="113">
        <f t="shared" si="19"/>
        <v>-0.83918925327119565</v>
      </c>
      <c r="BI12" s="113">
        <f t="shared" si="19"/>
        <v>-0.88394918444989889</v>
      </c>
    </row>
    <row r="13" spans="1:61" s="112" customFormat="1">
      <c r="A13" s="113">
        <f>A12+$B$9</f>
        <v>1.6225000000000001</v>
      </c>
      <c r="B13" s="110">
        <f t="shared" si="4"/>
        <v>0.44317140651994352</v>
      </c>
      <c r="C13" s="161">
        <f t="shared" si="5"/>
        <v>0.60820767899876005</v>
      </c>
      <c r="D13" s="113">
        <f t="shared" si="5"/>
        <v>9.9575363714449555E-2</v>
      </c>
      <c r="E13" s="113">
        <f t="shared" si="5"/>
        <v>1.7082667074961661E-2</v>
      </c>
      <c r="F13" s="113">
        <f t="shared" si="5"/>
        <v>3.0848981318240196E-2</v>
      </c>
      <c r="G13" s="113">
        <f t="shared" si="5"/>
        <v>9.8887186260684119E-3</v>
      </c>
      <c r="H13" s="113">
        <f t="shared" si="5"/>
        <v>4.8479849436841678E-3</v>
      </c>
      <c r="I13" s="113"/>
      <c r="J13" s="113"/>
      <c r="K13" s="113">
        <f t="shared" si="6"/>
        <v>0.77810023511105186</v>
      </c>
      <c r="L13" s="107">
        <f t="shared" si="7"/>
        <v>0.77045139467616408</v>
      </c>
      <c r="M13" s="111">
        <f t="shared" si="8"/>
        <v>0.88204906862010557</v>
      </c>
      <c r="N13" s="113">
        <f t="shared" si="9"/>
        <v>7.6488404348877435E-3</v>
      </c>
      <c r="O13" s="114">
        <f t="shared" si="10"/>
        <v>3.8725333172139207</v>
      </c>
      <c r="P13" s="111">
        <f t="shared" si="11"/>
        <v>3.495268547363426</v>
      </c>
      <c r="Q13" s="113">
        <f>Q14</f>
        <v>1.546814140850068</v>
      </c>
      <c r="R13" s="107">
        <f t="shared" si="12"/>
        <v>1.5706591969710788</v>
      </c>
      <c r="S13" s="115">
        <v>0.90808636363636375</v>
      </c>
      <c r="T13" s="107">
        <f t="shared" ref="T13:T53" si="20">T12</f>
        <v>5.65</v>
      </c>
      <c r="U13" s="111">
        <f t="shared" si="13"/>
        <v>3.6492186810532394</v>
      </c>
      <c r="V13" s="111">
        <f t="shared" si="14"/>
        <v>3.5492186810532393</v>
      </c>
      <c r="W13" s="111">
        <f t="shared" si="15"/>
        <v>3.495268547363426</v>
      </c>
      <c r="X13" s="111">
        <f t="shared" si="16"/>
        <v>6.163030197068065</v>
      </c>
      <c r="Y13" s="117">
        <v>1.607</v>
      </c>
      <c r="Z13" s="117">
        <v>6.0263876442904138E-2</v>
      </c>
      <c r="AA13" s="113">
        <f t="shared" si="17"/>
        <v>1.3006861257758788E-2</v>
      </c>
      <c r="AB13" s="113">
        <f t="shared" si="17"/>
        <v>-3.2010376891911288E-2</v>
      </c>
      <c r="AC13" s="113">
        <f t="shared" si="17"/>
        <v>-7.701385885627568E-2</v>
      </c>
      <c r="AD13" s="113">
        <f t="shared" si="17"/>
        <v>5.8037893395658735E-2</v>
      </c>
      <c r="AE13" s="113">
        <f t="shared" si="17"/>
        <v>0.10308276313555872</v>
      </c>
      <c r="AF13" s="113">
        <f t="shared" si="17"/>
        <v>0.14814151999259484</v>
      </c>
      <c r="AG13" s="113">
        <f t="shared" si="17"/>
        <v>0.19321421948680276</v>
      </c>
      <c r="AH13" s="113">
        <f t="shared" si="17"/>
        <v>0.23830092326017704</v>
      </c>
      <c r="AI13" s="113">
        <f t="shared" si="17"/>
        <v>0.28340169920784253</v>
      </c>
      <c r="AJ13" s="113">
        <f t="shared" si="17"/>
        <v>0.3285166216240018</v>
      </c>
      <c r="AK13" s="113">
        <f t="shared" si="17"/>
        <v>0.37364577136340976</v>
      </c>
      <c r="AL13" s="113">
        <f t="shared" si="17"/>
        <v>0.41878923601921647</v>
      </c>
      <c r="AM13" s="113">
        <f t="shared" si="17"/>
        <v>0.46394711011812106</v>
      </c>
      <c r="AN13" s="113">
        <f t="shared" si="17"/>
        <v>0.50911949533388901</v>
      </c>
      <c r="AO13" s="113">
        <f t="shared" si="17"/>
        <v>0.55430650072040544</v>
      </c>
      <c r="AP13" s="113">
        <f t="shared" si="17"/>
        <v>0.59950824296556715</v>
      </c>
      <c r="AQ13" s="113">
        <f t="shared" si="18"/>
        <v>0.64472484666746577</v>
      </c>
      <c r="AR13" s="113">
        <f t="shared" si="18"/>
        <v>-0.12200361670536237</v>
      </c>
      <c r="AS13" s="113">
        <f t="shared" si="18"/>
        <v>-0.16697967684206114</v>
      </c>
      <c r="AT13" s="113">
        <f t="shared" si="18"/>
        <v>-0.21194206005600622</v>
      </c>
      <c r="AU13" s="113">
        <f t="shared" si="18"/>
        <v>-0.25689078156584183</v>
      </c>
      <c r="AV13" s="113">
        <f t="shared" si="18"/>
        <v>-0.30182585105007159</v>
      </c>
      <c r="AW13" s="113">
        <f t="shared" si="18"/>
        <v>-0.34674727266663763</v>
      </c>
      <c r="AX13" s="113">
        <f t="shared" si="18"/>
        <v>-0.39165504506132243</v>
      </c>
      <c r="AY13" s="113">
        <f t="shared" si="18"/>
        <v>-0.43654916136501348</v>
      </c>
      <c r="AZ13" s="113">
        <f t="shared" si="18"/>
        <v>-0.48142960917981642</v>
      </c>
      <c r="BA13" s="113">
        <f t="shared" si="18"/>
        <v>-0.52629637055395218</v>
      </c>
      <c r="BB13" s="113">
        <f t="shared" si="18"/>
        <v>-0.57114942194531926</v>
      </c>
      <c r="BC13" s="113">
        <f t="shared" si="18"/>
        <v>-0.6159887341735486</v>
      </c>
      <c r="BD13" s="113">
        <f t="shared" si="18"/>
        <v>-0.66081427236031987</v>
      </c>
      <c r="BE13" s="113">
        <f t="shared" si="18"/>
        <v>-0.70562599585765606</v>
      </c>
      <c r="BF13" s="113">
        <f t="shared" si="18"/>
        <v>-0.75042385816384782</v>
      </c>
      <c r="BG13" s="113">
        <f t="shared" si="19"/>
        <v>-0.79520780682659764</v>
      </c>
      <c r="BH13" s="113">
        <f t="shared" si="19"/>
        <v>-0.83997778333290829</v>
      </c>
      <c r="BI13" s="113">
        <f t="shared" si="19"/>
        <v>-0.88473372298516595</v>
      </c>
    </row>
    <row r="14" spans="1:61" s="112" customFormat="1">
      <c r="A14" s="113">
        <f>A12+$B$9</f>
        <v>1.6225000000000001</v>
      </c>
      <c r="B14" s="110">
        <f t="shared" si="4"/>
        <v>0.44317140651994352</v>
      </c>
      <c r="C14" s="161">
        <f t="shared" si="5"/>
        <v>0.60820767899876005</v>
      </c>
      <c r="D14" s="113">
        <f t="shared" si="5"/>
        <v>9.9575363714449555E-2</v>
      </c>
      <c r="E14" s="113">
        <f t="shared" si="5"/>
        <v>1.7082667074961661E-2</v>
      </c>
      <c r="F14" s="113">
        <f t="shared" si="5"/>
        <v>3.0848981318240196E-2</v>
      </c>
      <c r="G14" s="113">
        <f t="shared" si="5"/>
        <v>9.8887186260684119E-3</v>
      </c>
      <c r="H14" s="113">
        <f t="shared" si="5"/>
        <v>4.8479849436841678E-3</v>
      </c>
      <c r="I14" s="113"/>
      <c r="J14" s="113"/>
      <c r="K14" s="113">
        <f t="shared" si="6"/>
        <v>0.77810023511105186</v>
      </c>
      <c r="L14" s="107">
        <f t="shared" si="7"/>
        <v>0.77045139467616408</v>
      </c>
      <c r="M14" s="111">
        <f t="shared" si="8"/>
        <v>0.88204906862010557</v>
      </c>
      <c r="N14" s="113">
        <f t="shared" si="9"/>
        <v>7.6488404348877435E-3</v>
      </c>
      <c r="O14" s="114">
        <f t="shared" si="10"/>
        <v>3.8725333172139207</v>
      </c>
      <c r="P14" s="111">
        <f t="shared" si="11"/>
        <v>3.495268547363426</v>
      </c>
      <c r="Q14" s="113">
        <v>1.546814140850068</v>
      </c>
      <c r="R14" s="107">
        <f t="shared" si="12"/>
        <v>1.5706591969710788</v>
      </c>
      <c r="S14" s="115">
        <v>0.90808636363636375</v>
      </c>
      <c r="T14" s="107">
        <f t="shared" si="20"/>
        <v>5.65</v>
      </c>
      <c r="U14" s="111">
        <f t="shared" si="13"/>
        <v>3.6492186810532394</v>
      </c>
      <c r="V14" s="111">
        <f t="shared" si="14"/>
        <v>3.5492186810532393</v>
      </c>
      <c r="W14" s="111">
        <f t="shared" si="15"/>
        <v>3.495268547363426</v>
      </c>
      <c r="X14" s="111">
        <f t="shared" si="16"/>
        <v>6.163030197068065</v>
      </c>
      <c r="Y14" s="117">
        <v>1.607</v>
      </c>
      <c r="Z14" s="117">
        <v>6.6877320261951284E-2</v>
      </c>
      <c r="AA14" s="113">
        <f t="shared" si="17"/>
        <v>1.3006861257758788E-2</v>
      </c>
      <c r="AB14" s="113">
        <f t="shared" si="17"/>
        <v>-3.2010376891911288E-2</v>
      </c>
      <c r="AC14" s="113">
        <f t="shared" si="17"/>
        <v>-7.701385885627568E-2</v>
      </c>
      <c r="AD14" s="113">
        <f t="shared" si="17"/>
        <v>5.8037893395658735E-2</v>
      </c>
      <c r="AE14" s="113">
        <f t="shared" si="17"/>
        <v>0.10308276313555872</v>
      </c>
      <c r="AF14" s="113">
        <f t="shared" si="17"/>
        <v>0.14814151999259484</v>
      </c>
      <c r="AG14" s="113">
        <f t="shared" si="17"/>
        <v>0.19321421948680276</v>
      </c>
      <c r="AH14" s="113">
        <f t="shared" si="17"/>
        <v>0.23830092326017704</v>
      </c>
      <c r="AI14" s="113">
        <f t="shared" si="17"/>
        <v>0.28340169920784253</v>
      </c>
      <c r="AJ14" s="113">
        <f t="shared" si="17"/>
        <v>0.3285166216240018</v>
      </c>
      <c r="AK14" s="113">
        <f t="shared" si="17"/>
        <v>0.37364577136340976</v>
      </c>
      <c r="AL14" s="113">
        <f t="shared" si="17"/>
        <v>0.41878923601921647</v>
      </c>
      <c r="AM14" s="113">
        <f t="shared" si="17"/>
        <v>0.46394711011812106</v>
      </c>
      <c r="AN14" s="113">
        <f t="shared" si="17"/>
        <v>0.50911949533388901</v>
      </c>
      <c r="AO14" s="113">
        <f t="shared" si="17"/>
        <v>0.55430650072040544</v>
      </c>
      <c r="AP14" s="113">
        <f t="shared" si="17"/>
        <v>0.59950824296556715</v>
      </c>
      <c r="AQ14" s="113">
        <f t="shared" si="18"/>
        <v>0.64472484666746577</v>
      </c>
      <c r="AR14" s="113">
        <f t="shared" si="18"/>
        <v>-0.12200361670536237</v>
      </c>
      <c r="AS14" s="113">
        <f t="shared" si="18"/>
        <v>-0.16697967684206114</v>
      </c>
      <c r="AT14" s="113">
        <f t="shared" si="18"/>
        <v>-0.21194206005600622</v>
      </c>
      <c r="AU14" s="113">
        <f t="shared" si="18"/>
        <v>-0.25689078156584183</v>
      </c>
      <c r="AV14" s="113">
        <f t="shared" si="18"/>
        <v>-0.30182585105007159</v>
      </c>
      <c r="AW14" s="113">
        <f t="shared" si="18"/>
        <v>-0.34674727266663763</v>
      </c>
      <c r="AX14" s="113">
        <f t="shared" si="18"/>
        <v>-0.39165504506132243</v>
      </c>
      <c r="AY14" s="113">
        <f t="shared" si="18"/>
        <v>-0.43654916136501348</v>
      </c>
      <c r="AZ14" s="113">
        <f t="shared" si="18"/>
        <v>-0.48142960917981642</v>
      </c>
      <c r="BA14" s="113">
        <f t="shared" si="18"/>
        <v>-0.52629637055395218</v>
      </c>
      <c r="BB14" s="113">
        <f t="shared" si="18"/>
        <v>-0.57114942194531926</v>
      </c>
      <c r="BC14" s="113">
        <f t="shared" si="18"/>
        <v>-0.6159887341735486</v>
      </c>
      <c r="BD14" s="113">
        <f t="shared" si="18"/>
        <v>-0.66081427236031987</v>
      </c>
      <c r="BE14" s="113">
        <f t="shared" si="18"/>
        <v>-0.70562599585765606</v>
      </c>
      <c r="BF14" s="113">
        <f t="shared" si="18"/>
        <v>-0.75042385816384782</v>
      </c>
      <c r="BG14" s="113">
        <f t="shared" si="19"/>
        <v>-0.79520780682659764</v>
      </c>
      <c r="BH14" s="113">
        <f t="shared" si="19"/>
        <v>-0.83997778333290829</v>
      </c>
      <c r="BI14" s="113">
        <f t="shared" si="19"/>
        <v>-0.88473372298516595</v>
      </c>
    </row>
    <row r="15" spans="1:61">
      <c r="A15" s="113">
        <f t="shared" ref="A15:A53" si="21">A14+$B$9</f>
        <v>1.645</v>
      </c>
      <c r="B15" s="110">
        <f t="shared" si="4"/>
        <v>0.4493170808784635</v>
      </c>
      <c r="C15" s="161">
        <f t="shared" si="5"/>
        <v>0.62977410427991087</v>
      </c>
      <c r="D15" s="113">
        <f t="shared" si="5"/>
        <v>8.6286327167425639E-2</v>
      </c>
      <c r="E15" s="113">
        <f t="shared" si="5"/>
        <v>1.5223803868022719E-2</v>
      </c>
      <c r="F15" s="113">
        <f t="shared" si="5"/>
        <v>2.8947480155357509E-2</v>
      </c>
      <c r="G15" s="113">
        <f t="shared" si="5"/>
        <v>9.1789328542812385E-3</v>
      </c>
      <c r="H15" s="113">
        <f t="shared" si="5"/>
        <v>4.4855361942083049E-3</v>
      </c>
      <c r="I15" s="113"/>
      <c r="J15" s="113"/>
      <c r="K15" s="113">
        <f t="shared" si="6"/>
        <v>0.78242204912766466</v>
      </c>
      <c r="L15" s="107">
        <f t="shared" si="7"/>
        <v>0.77389618451920639</v>
      </c>
      <c r="M15" s="111">
        <f t="shared" si="8"/>
        <v>0.88206583693322249</v>
      </c>
      <c r="N15" s="113">
        <f t="shared" si="9"/>
        <v>8.5258646084582709E-3</v>
      </c>
      <c r="O15" s="114">
        <f t="shared" si="10"/>
        <v>3.8195655362793839</v>
      </c>
      <c r="P15" s="111">
        <f t="shared" si="11"/>
        <v>3.4956657580817794</v>
      </c>
      <c r="Q15" s="111">
        <v>1.5440070704250339</v>
      </c>
      <c r="R15" s="107">
        <f t="shared" si="12"/>
        <v>1.5705614600294537</v>
      </c>
      <c r="S15" s="115">
        <v>0.90808636363636375</v>
      </c>
      <c r="T15" s="107">
        <f t="shared" si="20"/>
        <v>5.65</v>
      </c>
      <c r="U15" s="111">
        <f t="shared" si="13"/>
        <v>3.655862125673718</v>
      </c>
      <c r="V15" s="111">
        <f t="shared" si="14"/>
        <v>3.555862125673718</v>
      </c>
      <c r="W15" s="111">
        <f t="shared" si="15"/>
        <v>3.4956657580817794</v>
      </c>
      <c r="X15" s="111">
        <f t="shared" si="16"/>
        <v>6.1725842375315967</v>
      </c>
      <c r="Y15" s="115">
        <v>1.607</v>
      </c>
      <c r="Z15" s="115">
        <v>0.45026937903197911</v>
      </c>
      <c r="AA15" s="113">
        <f t="shared" si="17"/>
        <v>1.2203343267521656E-2</v>
      </c>
      <c r="AB15" s="113">
        <f t="shared" si="17"/>
        <v>-3.2813614243950684E-2</v>
      </c>
      <c r="AC15" s="113">
        <f t="shared" si="17"/>
        <v>-7.781662575776857E-2</v>
      </c>
      <c r="AD15" s="113">
        <f t="shared" si="17"/>
        <v>5.7234285514739781E-2</v>
      </c>
      <c r="AE15" s="113">
        <f t="shared" si="17"/>
        <v>0.10227925729063729</v>
      </c>
      <c r="AF15" s="113">
        <f t="shared" si="17"/>
        <v>0.14733830953855126</v>
      </c>
      <c r="AG15" s="113">
        <f t="shared" si="17"/>
        <v>0.19241149946172573</v>
      </c>
      <c r="AH15" s="113">
        <f t="shared" si="17"/>
        <v>0.23749889064731403</v>
      </c>
      <c r="AI15" s="113">
        <f t="shared" si="17"/>
        <v>0.28260055320551847</v>
      </c>
      <c r="AJ15" s="113">
        <f t="shared" si="17"/>
        <v>0.32771656392459236</v>
      </c>
      <c r="AK15" s="113">
        <f t="shared" si="17"/>
        <v>0.37284700644252389</v>
      </c>
      <c r="AL15" s="113">
        <f t="shared" si="17"/>
        <v>0.41799197143632316</v>
      </c>
      <c r="AM15" s="113">
        <f t="shared" si="17"/>
        <v>0.4631515568299448</v>
      </c>
      <c r="AN15" s="113">
        <f t="shared" si="17"/>
        <v>0.50832586802200042</v>
      </c>
      <c r="AO15" s="113">
        <f t="shared" si="17"/>
        <v>0.55351501813454851</v>
      </c>
      <c r="AP15" s="113">
        <f t="shared" si="17"/>
        <v>0.59871912828439666</v>
      </c>
      <c r="AQ15" s="113">
        <f t="shared" si="18"/>
        <v>0.64393832787851335</v>
      </c>
      <c r="AR15" s="113">
        <f t="shared" si="18"/>
        <v>-0.12280572403928164</v>
      </c>
      <c r="AS15" s="113">
        <f t="shared" si="18"/>
        <v>-0.16778093595014695</v>
      </c>
      <c r="AT15" s="113">
        <f t="shared" si="18"/>
        <v>-0.21274228250466859</v>
      </c>
      <c r="AU15" s="113">
        <f t="shared" si="18"/>
        <v>-0.25768977891370487</v>
      </c>
      <c r="AV15" s="113">
        <f t="shared" si="18"/>
        <v>-0.3026234346163576</v>
      </c>
      <c r="AW15" s="113">
        <f t="shared" si="18"/>
        <v>-0.34754325329959823</v>
      </c>
      <c r="AX15" s="113">
        <f t="shared" si="18"/>
        <v>-0.39244923290592554</v>
      </c>
      <c r="AY15" s="113">
        <f t="shared" si="18"/>
        <v>-0.43734136562909315</v>
      </c>
      <c r="AZ15" s="113">
        <f t="shared" si="18"/>
        <v>-0.48221963789788458</v>
      </c>
      <c r="BA15" s="113">
        <f t="shared" si="18"/>
        <v>-0.52708403034785845</v>
      </c>
      <c r="BB15" s="113">
        <f t="shared" si="18"/>
        <v>-0.57193451778092541</v>
      </c>
      <c r="BC15" s="113">
        <f t="shared" si="18"/>
        <v>-0.61677106911256052</v>
      </c>
      <c r="BD15" s="113">
        <f t="shared" si="18"/>
        <v>-0.66159364730639003</v>
      </c>
      <c r="BE15" s="113">
        <f t="shared" si="18"/>
        <v>-0.70640220929583097</v>
      </c>
      <c r="BF15" s="113">
        <f t="shared" si="18"/>
        <v>-0.75119670589239362</v>
      </c>
      <c r="BG15" s="113">
        <f t="shared" si="19"/>
        <v>-0.79597708168018499</v>
      </c>
      <c r="BH15" s="113">
        <f t="shared" si="19"/>
        <v>-0.84074327489608047</v>
      </c>
      <c r="BI15" s="113">
        <f t="shared" si="19"/>
        <v>-0.88549521729494629</v>
      </c>
    </row>
    <row r="16" spans="1:61">
      <c r="A16" s="113">
        <f t="shared" si="21"/>
        <v>1.6675</v>
      </c>
      <c r="B16" s="110">
        <f t="shared" si="4"/>
        <v>0.45546275523698349</v>
      </c>
      <c r="C16" s="161">
        <f t="shared" si="5"/>
        <v>0.64995246939181073</v>
      </c>
      <c r="D16" s="113">
        <f t="shared" si="5"/>
        <v>7.4347135608918216E-2</v>
      </c>
      <c r="E16" s="113">
        <f t="shared" si="5"/>
        <v>1.3466267748834075E-2</v>
      </c>
      <c r="F16" s="113">
        <f t="shared" si="5"/>
        <v>2.6935038556101836E-2</v>
      </c>
      <c r="G16" s="113">
        <f t="shared" si="5"/>
        <v>8.449996200189408E-3</v>
      </c>
      <c r="H16" s="113">
        <f t="shared" si="5"/>
        <v>4.1167842486223259E-3</v>
      </c>
      <c r="I16" s="113"/>
      <c r="J16" s="113"/>
      <c r="K16" s="113">
        <f t="shared" si="6"/>
        <v>0.78667344090430702</v>
      </c>
      <c r="L16" s="107">
        <f t="shared" si="7"/>
        <v>0.77726769175447652</v>
      </c>
      <c r="M16" s="111">
        <f t="shared" si="8"/>
        <v>0.88208194708369514</v>
      </c>
      <c r="N16" s="113">
        <f t="shared" si="9"/>
        <v>9.4057491498304637E-3</v>
      </c>
      <c r="O16" s="114">
        <f t="shared" si="10"/>
        <v>3.7680271707223905</v>
      </c>
      <c r="P16" s="111">
        <f t="shared" si="11"/>
        <v>3.4960544575227139</v>
      </c>
      <c r="Q16" s="111">
        <v>1.5411999999999999</v>
      </c>
      <c r="R16" s="107">
        <f t="shared" si="12"/>
        <v>1.5704675645498194</v>
      </c>
      <c r="S16" s="115">
        <v>0.90808636363636375</v>
      </c>
      <c r="T16" s="107">
        <f t="shared" si="20"/>
        <v>5.65</v>
      </c>
      <c r="U16" s="111">
        <f t="shared" si="13"/>
        <v>3.6625298199073724</v>
      </c>
      <c r="V16" s="111">
        <f t="shared" si="14"/>
        <v>3.5625298199073723</v>
      </c>
      <c r="W16" s="111">
        <f t="shared" si="15"/>
        <v>3.4960544575227139</v>
      </c>
      <c r="X16" s="111">
        <f t="shared" si="16"/>
        <v>6.1821384523962593</v>
      </c>
      <c r="Y16" s="115">
        <v>1.6015000000000001</v>
      </c>
      <c r="Z16" s="115">
        <v>0.61150282759885011</v>
      </c>
      <c r="AA16" s="113">
        <f t="shared" si="17"/>
        <v>1.1421891580286767E-2</v>
      </c>
      <c r="AB16" s="113">
        <f t="shared" si="17"/>
        <v>-3.3594785309006329E-2</v>
      </c>
      <c r="AC16" s="113">
        <f t="shared" si="17"/>
        <v>-7.8597326409749924E-2</v>
      </c>
      <c r="AD16" s="113">
        <f t="shared" si="17"/>
        <v>5.6452743939322203E-2</v>
      </c>
      <c r="AE16" s="113">
        <f t="shared" si="17"/>
        <v>0.10149781775483936</v>
      </c>
      <c r="AF16" s="113">
        <f t="shared" si="17"/>
        <v>0.14655716541993216</v>
      </c>
      <c r="AG16" s="113">
        <f t="shared" si="17"/>
        <v>0.19163084584977977</v>
      </c>
      <c r="AH16" s="113">
        <f t="shared" si="17"/>
        <v>0.23671892461290506</v>
      </c>
      <c r="AI16" s="113">
        <f t="shared" si="17"/>
        <v>0.28182147407865504</v>
      </c>
      <c r="AJ16" s="113">
        <f t="shared" si="17"/>
        <v>0.32693857358169381</v>
      </c>
      <c r="AK16" s="113">
        <f t="shared" si="17"/>
        <v>0.37207030960440179</v>
      </c>
      <c r="AL16" s="113">
        <f t="shared" si="17"/>
        <v>0.41721677597818829</v>
      </c>
      <c r="AM16" s="113">
        <f t="shared" si="17"/>
        <v>0.46237807410484744</v>
      </c>
      <c r="AN16" s="113">
        <f t="shared" si="17"/>
        <v>0.50755431319922151</v>
      </c>
      <c r="AO16" s="113">
        <f t="shared" si="17"/>
        <v>0.55274561055458571</v>
      </c>
      <c r="AP16" s="113">
        <f t="shared" si="17"/>
        <v>0.59795209183232934</v>
      </c>
      <c r="AQ16" s="113">
        <f t="shared" si="18"/>
        <v>0.6431738913776921</v>
      </c>
      <c r="AR16" s="113">
        <f t="shared" si="18"/>
        <v>-0.12358576518399707</v>
      </c>
      <c r="AS16" s="113">
        <f t="shared" si="18"/>
        <v>-0.16856012894710948</v>
      </c>
      <c r="AT16" s="113">
        <f t="shared" si="18"/>
        <v>-0.21352043892661601</v>
      </c>
      <c r="AU16" s="113">
        <f t="shared" si="18"/>
        <v>-0.25846671030777857</v>
      </c>
      <c r="AV16" s="113">
        <f t="shared" si="18"/>
        <v>-0.30339895226609437</v>
      </c>
      <c r="AW16" s="113">
        <f t="shared" si="18"/>
        <v>-0.34831716798689699</v>
      </c>
      <c r="AX16" s="113">
        <f t="shared" si="18"/>
        <v>-0.39322135467215463</v>
      </c>
      <c r="AY16" s="113">
        <f t="shared" si="18"/>
        <v>-0.43811150353449868</v>
      </c>
      <c r="AZ16" s="113">
        <f t="shared" si="18"/>
        <v>-0.48298759977845346</v>
      </c>
      <c r="BA16" s="113">
        <f t="shared" si="18"/>
        <v>-0.5278496225687731</v>
      </c>
      <c r="BB16" s="113">
        <f t="shared" si="18"/>
        <v>-0.57269754498572711</v>
      </c>
      <c r="BC16" s="113">
        <f t="shared" si="18"/>
        <v>-0.61753133396711091</v>
      </c>
      <c r="BD16" s="113">
        <f t="shared" si="18"/>
        <v>-0.662350950236687</v>
      </c>
      <c r="BE16" s="113">
        <f t="shared" si="18"/>
        <v>-0.70715634821869389</v>
      </c>
      <c r="BF16" s="113">
        <f t="shared" si="18"/>
        <v>-0.75194747593798539</v>
      </c>
      <c r="BG16" s="113">
        <f t="shared" si="19"/>
        <v>-0.79672427490528286</v>
      </c>
      <c r="BH16" s="113">
        <f t="shared" si="19"/>
        <v>-0.84148667998694227</v>
      </c>
      <c r="BI16" s="113">
        <f t="shared" si="19"/>
        <v>-0.88623461925854519</v>
      </c>
    </row>
    <row r="17" spans="1:61">
      <c r="A17" s="113">
        <f t="shared" si="21"/>
        <v>1.69</v>
      </c>
      <c r="B17" s="110">
        <f t="shared" si="4"/>
        <v>0.46160842959550358</v>
      </c>
      <c r="C17" s="161">
        <f t="shared" si="5"/>
        <v>0.66874503423187193</v>
      </c>
      <c r="D17" s="113">
        <f t="shared" si="5"/>
        <v>6.3663237583245172E-2</v>
      </c>
      <c r="E17" s="113">
        <f t="shared" si="5"/>
        <v>1.1818457195243531E-2</v>
      </c>
      <c r="F17" s="113">
        <f t="shared" si="5"/>
        <v>2.4844819702897768E-2</v>
      </c>
      <c r="G17" s="113">
        <f t="shared" si="5"/>
        <v>7.7128591638340616E-3</v>
      </c>
      <c r="H17" s="113">
        <f t="shared" si="5"/>
        <v>3.746999645992454E-3</v>
      </c>
      <c r="I17" s="113"/>
      <c r="J17" s="113"/>
      <c r="K17" s="113">
        <f>L17+N17</f>
        <v>0.78990842441940712</v>
      </c>
      <c r="L17" s="107">
        <f>SUM(C17:H17)</f>
        <v>0.78053140752308492</v>
      </c>
      <c r="M17" s="111">
        <f>SQRT(2*1/(1+R17))</f>
        <v>0.88209743285101039</v>
      </c>
      <c r="N17" s="113">
        <f t="shared" si="9"/>
        <v>9.3770168963221885E-3</v>
      </c>
      <c r="O17" s="114">
        <f t="shared" si="10"/>
        <v>3.7178611285086309</v>
      </c>
      <c r="P17" s="111">
        <f>W17</f>
        <v>3.4962556298112593</v>
      </c>
      <c r="Q17" s="111">
        <v>1.5411999999999999</v>
      </c>
      <c r="R17" s="107">
        <f t="shared" si="12"/>
        <v>1.5703773130385754</v>
      </c>
      <c r="S17" s="115">
        <v>0.90808636363636375</v>
      </c>
      <c r="T17" s="107">
        <f>T16</f>
        <v>5.65</v>
      </c>
      <c r="U17" s="111">
        <f t="shared" si="13"/>
        <v>3.6625298199073724</v>
      </c>
      <c r="V17" s="111">
        <f t="shared" si="14"/>
        <v>3.5625298199073723</v>
      </c>
      <c r="W17" s="111">
        <f t="shared" si="15"/>
        <v>3.4962556298112593</v>
      </c>
      <c r="X17" s="111">
        <f t="shared" si="16"/>
        <v>6.1914099091287129</v>
      </c>
      <c r="Y17" s="115">
        <v>1.6015000000000001</v>
      </c>
      <c r="Z17" s="115">
        <v>0.61150282759885011</v>
      </c>
      <c r="AA17" s="113">
        <f t="shared" si="17"/>
        <v>1.0661594650736725E-2</v>
      </c>
      <c r="AB17" s="113">
        <f t="shared" si="17"/>
        <v>-3.4354795804320139E-2</v>
      </c>
      <c r="AC17" s="113">
        <f t="shared" si="17"/>
        <v>-7.9356860716389852E-2</v>
      </c>
      <c r="AD17" s="113">
        <f t="shared" si="17"/>
        <v>5.5692351278229899E-2</v>
      </c>
      <c r="AE17" s="113">
        <f t="shared" si="17"/>
        <v>0.10073752127061703</v>
      </c>
      <c r="AF17" s="113">
        <f t="shared" si="17"/>
        <v>0.1457971584896233</v>
      </c>
      <c r="AG17" s="113">
        <f t="shared" si="17"/>
        <v>0.19087132358845779</v>
      </c>
      <c r="AH17" s="113">
        <f t="shared" si="17"/>
        <v>0.23596008415064412</v>
      </c>
      <c r="AI17" s="113">
        <f t="shared" si="17"/>
        <v>0.28106351484621944</v>
      </c>
      <c r="AJ17" s="113">
        <f t="shared" si="17"/>
        <v>0.32618169760616217</v>
      </c>
      <c r="AK17" s="113">
        <f t="shared" si="17"/>
        <v>0.37131472181602332</v>
      </c>
      <c r="AL17" s="113">
        <f t="shared" si="17"/>
        <v>0.41646268452986002</v>
      </c>
      <c r="AM17" s="113">
        <f t="shared" si="17"/>
        <v>0.46162569070570603</v>
      </c>
      <c r="AN17" s="113">
        <f t="shared" si="17"/>
        <v>0.5068038534639645</v>
      </c>
      <c r="AO17" s="113">
        <f t="shared" si="17"/>
        <v>0.55199729437027012</v>
      </c>
      <c r="AP17" s="113">
        <f t="shared" si="17"/>
        <v>0.59720614374455117</v>
      </c>
      <c r="AQ17" s="113">
        <f t="shared" si="18"/>
        <v>0.64243054099822394</v>
      </c>
      <c r="AR17" s="113">
        <f t="shared" si="18"/>
        <v>-0.12434463424277875</v>
      </c>
      <c r="AS17" s="113">
        <f t="shared" si="18"/>
        <v>-0.16931814414460167</v>
      </c>
      <c r="AT17" s="113">
        <f t="shared" si="18"/>
        <v>-0.2142774118482148</v>
      </c>
      <c r="AU17" s="113">
        <f t="shared" si="18"/>
        <v>-0.25922245249244968</v>
      </c>
      <c r="AV17" s="113">
        <f t="shared" si="18"/>
        <v>-0.3041532749618911</v>
      </c>
      <c r="AW17" s="113">
        <f t="shared" si="18"/>
        <v>-0.34906988190637034</v>
      </c>
      <c r="AX17" s="113">
        <f t="shared" si="18"/>
        <v>-0.39397226974677396</v>
      </c>
      <c r="AY17" s="113">
        <f t="shared" si="18"/>
        <v>-0.43886042866719771</v>
      </c>
      <c r="AZ17" s="113">
        <f t="shared" si="18"/>
        <v>-0.48373434259340486</v>
      </c>
      <c r="BA17" s="113">
        <f t="shared" si="18"/>
        <v>-0.52859398915747891</v>
      </c>
      <c r="BB17" s="113">
        <f t="shared" si="18"/>
        <v>-0.57343933964848925</v>
      </c>
      <c r="BC17" s="113">
        <f t="shared" si="18"/>
        <v>-0.61827035894891547</v>
      </c>
      <c r="BD17" s="113">
        <f t="shared" si="18"/>
        <v>-0.6630870054564969</v>
      </c>
      <c r="BE17" s="113">
        <f t="shared" si="18"/>
        <v>-0.70788923099110479</v>
      </c>
      <c r="BF17" s="113">
        <f t="shared" si="18"/>
        <v>-0.75267698068614031</v>
      </c>
      <c r="BG17" s="113">
        <f t="shared" si="19"/>
        <v>-0.79745019286388374</v>
      </c>
      <c r="BH17" s="113">
        <f t="shared" si="19"/>
        <v>-0.84220879889412437</v>
      </c>
      <c r="BI17" s="113">
        <f t="shared" si="19"/>
        <v>-0.88695272303529893</v>
      </c>
    </row>
    <row r="18" spans="1:61">
      <c r="A18" s="113">
        <f>A17+$B$9</f>
        <v>1.7124999999999999</v>
      </c>
      <c r="B18" s="110">
        <f t="shared" si="4"/>
        <v>0.46775410395402356</v>
      </c>
      <c r="C18" s="161">
        <f t="shared" si="5"/>
        <v>0.68616316399404353</v>
      </c>
      <c r="D18" s="113">
        <f t="shared" si="5"/>
        <v>5.414258561447946E-2</v>
      </c>
      <c r="E18" s="113">
        <f t="shared" si="5"/>
        <v>1.02858406037267E-2</v>
      </c>
      <c r="F18" s="113">
        <f t="shared" si="5"/>
        <v>2.270847659538602E-2</v>
      </c>
      <c r="G18" s="113">
        <f t="shared" si="5"/>
        <v>6.9775402873433713E-3</v>
      </c>
      <c r="H18" s="113">
        <f t="shared" si="5"/>
        <v>3.3809315783333706E-3</v>
      </c>
      <c r="I18" s="113"/>
      <c r="J18" s="113"/>
      <c r="K18" s="113">
        <f t="shared" si="6"/>
        <v>0.7939193424474823</v>
      </c>
      <c r="L18" s="107">
        <f t="shared" si="7"/>
        <v>0.78365853867331248</v>
      </c>
      <c r="M18" s="111">
        <f t="shared" si="8"/>
        <v>0.88211232588959265</v>
      </c>
      <c r="N18" s="113">
        <f t="shared" si="9"/>
        <v>1.0260803774169776E-2</v>
      </c>
      <c r="O18" s="114">
        <f t="shared" si="10"/>
        <v>3.6690133180610722</v>
      </c>
      <c r="P18" s="111">
        <f t="shared" si="11"/>
        <v>3.4966285756591478</v>
      </c>
      <c r="Q18" s="111">
        <v>1.5383929295749659</v>
      </c>
      <c r="R18" s="107">
        <f t="shared" si="12"/>
        <v>1.5702905204516986</v>
      </c>
      <c r="S18" s="115">
        <v>0.90808636363636375</v>
      </c>
      <c r="T18" s="107">
        <f>T16</f>
        <v>5.65</v>
      </c>
      <c r="U18" s="111">
        <f t="shared" si="13"/>
        <v>3.669221896860646</v>
      </c>
      <c r="V18" s="111">
        <f t="shared" si="14"/>
        <v>3.5692218968606459</v>
      </c>
      <c r="W18" s="111">
        <f t="shared" si="15"/>
        <v>3.4966285756591478</v>
      </c>
      <c r="X18" s="111">
        <f t="shared" si="16"/>
        <v>6.2009644664101087</v>
      </c>
      <c r="Y18" s="115">
        <v>1.5960000000000001</v>
      </c>
      <c r="Z18" s="115">
        <v>0.72793880183187876</v>
      </c>
      <c r="AA18" s="113">
        <f t="shared" si="17"/>
        <v>9.9216224930550739E-3</v>
      </c>
      <c r="AB18" s="113">
        <f t="shared" si="17"/>
        <v>-3.5094487371973015E-2</v>
      </c>
      <c r="AC18" s="113">
        <f t="shared" si="17"/>
        <v>-8.0096081945608563E-2</v>
      </c>
      <c r="AD18" s="113">
        <f t="shared" si="17"/>
        <v>5.4952289237427079E-2</v>
      </c>
      <c r="AE18" s="113">
        <f t="shared" si="17"/>
        <v>9.9997561276490676E-2</v>
      </c>
      <c r="AF18" s="113">
        <f t="shared" si="17"/>
        <v>0.14505749396492162</v>
      </c>
      <c r="AG18" s="113">
        <f t="shared" si="17"/>
        <v>0.19013214972570502</v>
      </c>
      <c r="AH18" s="113">
        <f t="shared" si="17"/>
        <v>0.23522159819687732</v>
      </c>
      <c r="AI18" s="113">
        <f t="shared" si="17"/>
        <v>0.28032591639684867</v>
      </c>
      <c r="AJ18" s="113">
        <f t="shared" si="17"/>
        <v>0.32544518890924012</v>
      </c>
      <c r="AK18" s="113">
        <f t="shared" si="17"/>
        <v>0.37057950808829787</v>
      </c>
      <c r="AL18" s="113">
        <f t="shared" si="17"/>
        <v>0.41572897428608219</v>
      </c>
      <c r="AM18" s="113">
        <f t="shared" si="17"/>
        <v>0.46089369610277992</v>
      </c>
      <c r="AN18" s="113">
        <f t="shared" si="17"/>
        <v>0.5060737906616537</v>
      </c>
      <c r="AO18" s="113">
        <f t="shared" si="17"/>
        <v>0.55126938391032343</v>
      </c>
      <c r="AP18" s="113">
        <f t="shared" si="17"/>
        <v>0.59648061095027682</v>
      </c>
      <c r="AQ18" s="113">
        <f t="shared" si="18"/>
        <v>0.64170761639672902</v>
      </c>
      <c r="AR18" s="113">
        <f t="shared" si="18"/>
        <v>-0.12508319608389962</v>
      </c>
      <c r="AS18" s="113">
        <f t="shared" si="18"/>
        <v>-0.17005585799056111</v>
      </c>
      <c r="AT18" s="113">
        <f t="shared" si="18"/>
        <v>-0.21501408928104904</v>
      </c>
      <c r="AU18" s="113">
        <f t="shared" si="18"/>
        <v>-0.25995790503147964</v>
      </c>
      <c r="AV18" s="113">
        <f t="shared" si="18"/>
        <v>-0.30488731381265299</v>
      </c>
      <c r="AW18" s="113">
        <f t="shared" si="18"/>
        <v>-0.34980231770935993</v>
      </c>
      <c r="AX18" s="113">
        <f t="shared" si="18"/>
        <v>-0.3947029123250746</v>
      </c>
      <c r="AY18" s="113">
        <f t="shared" si="18"/>
        <v>-0.43958908677205699</v>
      </c>
      <c r="AZ18" s="113">
        <f t="shared" si="18"/>
        <v>-0.48446082364681353</v>
      </c>
      <c r="BA18" s="113">
        <f t="shared" si="18"/>
        <v>-0.52931809899078575</v>
      </c>
      <c r="BB18" s="113">
        <f t="shared" si="18"/>
        <v>-0.57416088223606065</v>
      </c>
      <c r="BC18" s="113">
        <f t="shared" si="18"/>
        <v>-0.6189891361358143</v>
      </c>
      <c r="BD18" s="113">
        <f t="shared" si="18"/>
        <v>-0.66380281667911623</v>
      </c>
      <c r="BE18" s="113">
        <f t="shared" si="18"/>
        <v>-0.70860187298963784</v>
      </c>
      <c r="BF18" s="113">
        <f t="shared" si="18"/>
        <v>-0.75338624720771652</v>
      </c>
      <c r="BG18" s="113">
        <f t="shared" si="19"/>
        <v>-0.79815587435512669</v>
      </c>
      <c r="BH18" s="113">
        <f t="shared" si="19"/>
        <v>-0.84291068218181231</v>
      </c>
      <c r="BI18" s="113">
        <f t="shared" si="19"/>
        <v>-0.8876505909937179</v>
      </c>
    </row>
    <row r="19" spans="1:61">
      <c r="A19" s="113">
        <f t="shared" si="21"/>
        <v>1.7349999999999999</v>
      </c>
      <c r="B19" s="110">
        <f t="shared" si="4"/>
        <v>0.4738997783125436</v>
      </c>
      <c r="C19" s="161">
        <f t="shared" si="5"/>
        <v>0.70222749700044196</v>
      </c>
      <c r="D19" s="113">
        <f t="shared" si="5"/>
        <v>4.5695991006949772E-2</v>
      </c>
      <c r="E19" s="113">
        <f t="shared" si="5"/>
        <v>8.8714217133923131E-3</v>
      </c>
      <c r="F19" s="113">
        <f t="shared" si="5"/>
        <v>2.0555627531338626E-2</v>
      </c>
      <c r="G19" s="113">
        <f t="shared" si="5"/>
        <v>6.2529679980663595E-3</v>
      </c>
      <c r="H19" s="113">
        <f t="shared" si="5"/>
        <v>3.0227247098218047E-3</v>
      </c>
      <c r="I19" s="113"/>
      <c r="J19" s="113"/>
      <c r="K19" s="113">
        <f t="shared" si="6"/>
        <v>0.79754106553782278</v>
      </c>
      <c r="L19" s="107">
        <f t="shared" si="7"/>
        <v>0.78662622996001086</v>
      </c>
      <c r="M19" s="111">
        <f t="shared" si="8"/>
        <v>0.88212665588607475</v>
      </c>
      <c r="N19" s="113">
        <f t="shared" si="9"/>
        <v>1.0914835577811937E-2</v>
      </c>
      <c r="O19" s="114">
        <f t="shared" si="10"/>
        <v>3.6214324537058138</v>
      </c>
      <c r="P19" s="111">
        <f t="shared" si="11"/>
        <v>3.4969485788222441</v>
      </c>
      <c r="Q19" s="111">
        <v>1.5363</v>
      </c>
      <c r="R19" s="107">
        <f t="shared" si="12"/>
        <v>1.5702070132711745</v>
      </c>
      <c r="S19" s="115">
        <v>0.90808636363636375</v>
      </c>
      <c r="T19" s="107">
        <f t="shared" si="20"/>
        <v>5.65</v>
      </c>
      <c r="U19" s="111">
        <f t="shared" si="13"/>
        <v>3.6742274035387412</v>
      </c>
      <c r="V19" s="111">
        <f t="shared" si="14"/>
        <v>3.5742274035387411</v>
      </c>
      <c r="W19" s="111">
        <f t="shared" si="15"/>
        <v>3.4969485788222441</v>
      </c>
      <c r="X19" s="111">
        <f t="shared" si="16"/>
        <v>6.2104472152663286</v>
      </c>
      <c r="Y19" s="115">
        <v>1.5925</v>
      </c>
      <c r="Z19" s="115">
        <v>0.79807673372452415</v>
      </c>
      <c r="AA19" s="113">
        <f t="shared" si="17"/>
        <v>9.2011544886429833E-3</v>
      </c>
      <c r="AB19" s="113">
        <f t="shared" si="17"/>
        <v>-3.5814673319664744E-2</v>
      </c>
      <c r="AC19" s="113">
        <f t="shared" si="17"/>
        <v>-8.0815796113006863E-2</v>
      </c>
      <c r="AD19" s="113">
        <f t="shared" si="17"/>
        <v>5.4231729865196532E-2</v>
      </c>
      <c r="AE19" s="113">
        <f t="shared" si="17"/>
        <v>9.9277102462025882E-2</v>
      </c>
      <c r="AF19" s="113">
        <f t="shared" si="17"/>
        <v>0.14433732914773492</v>
      </c>
      <c r="AG19" s="113">
        <f t="shared" si="17"/>
        <v>0.18941247414352622</v>
      </c>
      <c r="AH19" s="113">
        <f t="shared" si="17"/>
        <v>0.23450260917819588</v>
      </c>
      <c r="AI19" s="113">
        <f t="shared" si="17"/>
        <v>0.27960781366298731</v>
      </c>
      <c r="AJ19" s="113">
        <f t="shared" si="17"/>
        <v>0.32472817488732003</v>
      </c>
      <c r="AK19" s="113">
        <f t="shared" si="17"/>
        <v>0.36986378823654686</v>
      </c>
      <c r="AL19" s="113">
        <f t="shared" si="17"/>
        <v>0.41501475743304661</v>
      </c>
      <c r="AM19" s="113">
        <f t="shared" si="17"/>
        <v>0.46018119480212127</v>
      </c>
      <c r="AN19" s="113">
        <f t="shared" si="17"/>
        <v>0.50536322156435154</v>
      </c>
      <c r="AO19" s="113">
        <f t="shared" si="17"/>
        <v>0.55056096815626543</v>
      </c>
      <c r="AP19" s="113">
        <f t="shared" si="17"/>
        <v>0.5957745745813956</v>
      </c>
      <c r="AQ19" s="113">
        <f t="shared" si="18"/>
        <v>0.64100419079405291</v>
      </c>
      <c r="AR19" s="113">
        <f t="shared" si="18"/>
        <v>-0.12580224944619778</v>
      </c>
      <c r="AS19" s="113">
        <f t="shared" si="18"/>
        <v>-0.17077406195888573</v>
      </c>
      <c r="AT19" s="113">
        <f t="shared" si="18"/>
        <v>-0.21573125544232646</v>
      </c>
      <c r="AU19" s="113">
        <f t="shared" si="18"/>
        <v>-0.26067384488999629</v>
      </c>
      <c r="AV19" s="113">
        <f t="shared" si="18"/>
        <v>-0.30560183853231881</v>
      </c>
      <c r="AW19" s="113">
        <f t="shared" si="18"/>
        <v>-0.35051523785569422</v>
      </c>
      <c r="AX19" s="113">
        <f t="shared" si="18"/>
        <v>-0.39541403760593313</v>
      </c>
      <c r="AY19" s="113">
        <f t="shared" si="18"/>
        <v>-0.44029822577611455</v>
      </c>
      <c r="AZ19" s="113">
        <f t="shared" si="18"/>
        <v>-0.48516778357880103</v>
      </c>
      <c r="BA19" s="113">
        <f t="shared" si="18"/>
        <v>-0.530022685402462</v>
      </c>
      <c r="BB19" s="113">
        <f t="shared" si="18"/>
        <v>-0.57486289875186825</v>
      </c>
      <c r="BC19" s="113">
        <f t="shared" si="18"/>
        <v>-0.61968838417213279</v>
      </c>
      <c r="BD19" s="113">
        <f t="shared" si="18"/>
        <v>-0.66449909515598138</v>
      </c>
      <c r="BE19" s="113">
        <f t="shared" si="18"/>
        <v>-0.70929497803374031</v>
      </c>
      <c r="BF19" s="113">
        <f t="shared" si="18"/>
        <v>-0.75407597184542841</v>
      </c>
      <c r="BG19" s="113">
        <f t="shared" si="19"/>
        <v>-0.79884200819423234</v>
      </c>
      <c r="BH19" s="113">
        <f t="shared" si="19"/>
        <v>-0.8435930110805302</v>
      </c>
      <c r="BI19" s="113">
        <f t="shared" si="19"/>
        <v>-0.88832889671550397</v>
      </c>
    </row>
    <row r="20" spans="1:61">
      <c r="A20" s="113">
        <f t="shared" si="21"/>
        <v>1.7574999999999998</v>
      </c>
      <c r="B20" s="110">
        <f t="shared" si="4"/>
        <v>0.48004545267106358</v>
      </c>
      <c r="C20" s="161">
        <f t="shared" si="5"/>
        <v>0.71667817741864726</v>
      </c>
      <c r="D20" s="113">
        <f t="shared" si="5"/>
        <v>3.8222739462497657E-2</v>
      </c>
      <c r="E20" s="113">
        <f t="shared" si="5"/>
        <v>7.5731111093447533E-3</v>
      </c>
      <c r="F20" s="113">
        <f t="shared" si="5"/>
        <v>1.8406540574532029E-2</v>
      </c>
      <c r="G20" s="113">
        <f t="shared" si="5"/>
        <v>5.544867160645753E-3</v>
      </c>
      <c r="H20" s="113">
        <f t="shared" si="5"/>
        <v>2.6749281379574502E-3</v>
      </c>
      <c r="I20" s="113"/>
      <c r="J20" s="113"/>
      <c r="K20" s="113">
        <f t="shared" si="6"/>
        <v>0.80060827889645969</v>
      </c>
      <c r="L20" s="107">
        <f t="shared" si="7"/>
        <v>0.78910036386362492</v>
      </c>
      <c r="M20" s="111">
        <f t="shared" si="8"/>
        <v>0.88214045070326252</v>
      </c>
      <c r="N20" s="113">
        <f t="shared" si="9"/>
        <v>1.1507915032834796E-2</v>
      </c>
      <c r="O20" s="114">
        <f t="shared" si="10"/>
        <v>3.5750698760623538</v>
      </c>
      <c r="P20" s="111">
        <f t="shared" si="11"/>
        <v>3.4972493172285701</v>
      </c>
      <c r="Q20" s="111">
        <v>1.5344</v>
      </c>
      <c r="R20" s="107">
        <f t="shared" si="12"/>
        <v>1.5701266286597899</v>
      </c>
      <c r="S20" s="115">
        <v>0.90772272727272718</v>
      </c>
      <c r="T20" s="107">
        <f t="shared" si="20"/>
        <v>5.65</v>
      </c>
      <c r="U20" s="111">
        <f t="shared" si="13"/>
        <v>3.6787833440362094</v>
      </c>
      <c r="V20" s="111">
        <f t="shared" si="14"/>
        <v>3.5787833440362093</v>
      </c>
      <c r="W20" s="111">
        <f t="shared" si="15"/>
        <v>3.4972493172285701</v>
      </c>
      <c r="X20" s="111">
        <f t="shared" si="16"/>
        <v>6.2199106888283842</v>
      </c>
      <c r="Y20" s="115">
        <v>1.589</v>
      </c>
      <c r="Z20" s="115">
        <v>0.82972924356396049</v>
      </c>
      <c r="AA20" s="113">
        <f t="shared" si="17"/>
        <v>8.499428240517512E-3</v>
      </c>
      <c r="AB20" s="113">
        <f t="shared" si="17"/>
        <v>-3.651611712651421E-2</v>
      </c>
      <c r="AC20" s="113">
        <f t="shared" si="17"/>
        <v>-8.1516767776862065E-2</v>
      </c>
      <c r="AD20" s="113">
        <f t="shared" si="17"/>
        <v>5.3529911850012553E-2</v>
      </c>
      <c r="AE20" s="113">
        <f t="shared" si="17"/>
        <v>9.8575384604915675E-2</v>
      </c>
      <c r="AF20" s="113">
        <f t="shared" si="17"/>
        <v>0.14363590490927997</v>
      </c>
      <c r="AG20" s="113">
        <f t="shared" si="17"/>
        <v>0.18871153881162245</v>
      </c>
      <c r="AH20" s="113">
        <f t="shared" si="17"/>
        <v>0.23380236016852468</v>
      </c>
      <c r="AI20" s="113">
        <f t="shared" si="17"/>
        <v>0.2789084508294416</v>
      </c>
      <c r="AJ20" s="113">
        <f t="shared" si="17"/>
        <v>0.32402990084382005</v>
      </c>
      <c r="AK20" s="113">
        <f t="shared" si="17"/>
        <v>0.36916680869178248</v>
      </c>
      <c r="AL20" s="113">
        <f t="shared" si="17"/>
        <v>0.41431928153979536</v>
      </c>
      <c r="AM20" s="113">
        <f t="shared" si="17"/>
        <v>0.45948743552292498</v>
      </c>
      <c r="AN20" s="113">
        <f t="shared" si="17"/>
        <v>0.50467139605548506</v>
      </c>
      <c r="AO20" s="113">
        <f t="shared" si="17"/>
        <v>0.54987129817210079</v>
      </c>
      <c r="AP20" s="113">
        <f t="shared" si="17"/>
        <v>0.59508728690146273</v>
      </c>
      <c r="AQ20" s="113">
        <f t="shared" si="18"/>
        <v>0.64031951767531881</v>
      </c>
      <c r="AR20" s="113">
        <f t="shared" si="18"/>
        <v>-0.12650255996438312</v>
      </c>
      <c r="AS20" s="113">
        <f t="shared" si="18"/>
        <v>-0.1714735227581537</v>
      </c>
      <c r="AT20" s="113">
        <f t="shared" si="18"/>
        <v>-0.2164296781120017</v>
      </c>
      <c r="AU20" s="113">
        <f t="shared" si="18"/>
        <v>-0.26137104091681906</v>
      </c>
      <c r="AV20" s="113">
        <f t="shared" si="18"/>
        <v>-0.3062976190359471</v>
      </c>
      <c r="AW20" s="113">
        <f t="shared" si="18"/>
        <v>-0.35120941332382927</v>
      </c>
      <c r="AX20" s="113">
        <f t="shared" si="18"/>
        <v>-0.39610641762803739</v>
      </c>
      <c r="AY20" s="113">
        <f t="shared" si="18"/>
        <v>-0.44098861877468032</v>
      </c>
      <c r="AZ20" s="113">
        <f t="shared" si="18"/>
        <v>-0.48585599653711531</v>
      </c>
      <c r="BA20" s="113">
        <f t="shared" si="18"/>
        <v>-0.53070852358778797</v>
      </c>
      <c r="BB20" s="113">
        <f t="shared" si="18"/>
        <v>-0.57554616543293291</v>
      </c>
      <c r="BC20" s="113">
        <f t="shared" si="18"/>
        <v>-0.62036888032976978</v>
      </c>
      <c r="BD20" s="113">
        <f t="shared" si="18"/>
        <v>-0.66517661918572646</v>
      </c>
      <c r="BE20" s="113">
        <f t="shared" si="18"/>
        <v>-0.70996932543911984</v>
      </c>
      <c r="BF20" s="113">
        <f t="shared" si="18"/>
        <v>-0.7547469349206074</v>
      </c>
      <c r="BG20" s="113">
        <f t="shared" si="19"/>
        <v>-0.79950937569460945</v>
      </c>
      <c r="BH20" s="113">
        <f t="shared" si="19"/>
        <v>-0.84425656787977066</v>
      </c>
      <c r="BI20" s="113">
        <f t="shared" si="19"/>
        <v>-0.88898842344739215</v>
      </c>
    </row>
    <row r="21" spans="1:61">
      <c r="A21" s="113">
        <f t="shared" si="21"/>
        <v>1.7799999999999998</v>
      </c>
      <c r="B21" s="110">
        <f t="shared" si="4"/>
        <v>0.48619112702958356</v>
      </c>
      <c r="C21" s="161">
        <f t="shared" si="5"/>
        <v>0.7292469534355992</v>
      </c>
      <c r="D21" s="113">
        <f t="shared" si="5"/>
        <v>3.1636993424775391E-2</v>
      </c>
      <c r="E21" s="113">
        <f t="shared" si="5"/>
        <v>6.3890775777449725E-3</v>
      </c>
      <c r="F21" s="113">
        <f t="shared" si="5"/>
        <v>1.6282862282387359E-2</v>
      </c>
      <c r="G21" s="113">
        <f t="shared" si="5"/>
        <v>4.8591032592251405E-3</v>
      </c>
      <c r="H21" s="113">
        <f t="shared" si="5"/>
        <v>2.3401214988090172E-3</v>
      </c>
      <c r="I21" s="113"/>
      <c r="J21" s="113"/>
      <c r="K21" s="113">
        <f t="shared" si="6"/>
        <v>0.80270124898937467</v>
      </c>
      <c r="L21" s="107">
        <f t="shared" si="7"/>
        <v>0.79075511147854116</v>
      </c>
      <c r="M21" s="111">
        <f t="shared" si="8"/>
        <v>0.8821537365120542</v>
      </c>
      <c r="N21" s="113">
        <f t="shared" si="9"/>
        <v>1.1946137510833489E-2</v>
      </c>
      <c r="O21" s="114">
        <f t="shared" si="10"/>
        <v>3.5298793860559479</v>
      </c>
      <c r="P21" s="111">
        <f t="shared" si="11"/>
        <v>3.4975127708422691</v>
      </c>
      <c r="Q21" s="111">
        <v>1.53298</v>
      </c>
      <c r="R21" s="107">
        <f t="shared" si="12"/>
        <v>1.5700492136868365</v>
      </c>
      <c r="S21" s="115">
        <v>0.906640909090909</v>
      </c>
      <c r="T21" s="107">
        <f t="shared" si="20"/>
        <v>5.65</v>
      </c>
      <c r="U21" s="111">
        <f t="shared" si="13"/>
        <v>3.682195699537774</v>
      </c>
      <c r="V21" s="111">
        <f t="shared" si="14"/>
        <v>3.5821956995377739</v>
      </c>
      <c r="W21" s="111">
        <f t="shared" si="15"/>
        <v>3.4975127708422691</v>
      </c>
      <c r="X21" s="111">
        <f t="shared" si="16"/>
        <v>6.2293259487367401</v>
      </c>
      <c r="Y21" s="115">
        <v>1.5865</v>
      </c>
      <c r="Z21" s="115">
        <v>0.83332339713298342</v>
      </c>
      <c r="AA21" s="113">
        <f t="shared" si="17"/>
        <v>7.8157178580011005E-3</v>
      </c>
      <c r="AB21" s="113">
        <f t="shared" si="17"/>
        <v>-3.7199544087309654E-2</v>
      </c>
      <c r="AC21" s="113">
        <f t="shared" si="17"/>
        <v>-8.2199721637520734E-2</v>
      </c>
      <c r="AD21" s="113">
        <f t="shared" si="17"/>
        <v>5.2846108703412588E-2</v>
      </c>
      <c r="AE21" s="113">
        <f t="shared" si="17"/>
        <v>9.7891680616653154E-2</v>
      </c>
      <c r="AF21" s="113">
        <f t="shared" si="17"/>
        <v>0.14295249355847128</v>
      </c>
      <c r="AG21" s="113">
        <f t="shared" si="17"/>
        <v>0.18802861543361665</v>
      </c>
      <c r="AH21" s="113">
        <f t="shared" si="17"/>
        <v>0.2331201222634092</v>
      </c>
      <c r="AI21" s="113">
        <f t="shared" si="17"/>
        <v>0.27822709838093834</v>
      </c>
      <c r="AJ21" s="113">
        <f t="shared" si="17"/>
        <v>0.32334963665008698</v>
      </c>
      <c r="AK21" s="113">
        <f t="shared" si="17"/>
        <v>0.36848783870974194</v>
      </c>
      <c r="AL21" s="113">
        <f t="shared" si="17"/>
        <v>0.41364181524473581</v>
      </c>
      <c r="AM21" s="113">
        <f t="shared" si="17"/>
        <v>0.45881168628526298</v>
      </c>
      <c r="AN21" s="113">
        <f t="shared" si="17"/>
        <v>0.50399758153673757</v>
      </c>
      <c r="AO21" s="113">
        <f t="shared" si="17"/>
        <v>0.54919964074230299</v>
      </c>
      <c r="AP21" s="113">
        <f t="shared" si="17"/>
        <v>0.59441801408047823</v>
      </c>
      <c r="AQ21" s="113">
        <f t="shared" si="18"/>
        <v>0.63965286260072896</v>
      </c>
      <c r="AR21" s="113">
        <f t="shared" si="18"/>
        <v>-0.12718485174527838</v>
      </c>
      <c r="AS21" s="113">
        <f t="shared" si="18"/>
        <v>-0.17215496390197063</v>
      </c>
      <c r="AT21" s="113">
        <f t="shared" si="18"/>
        <v>-0.21711008021007508</v>
      </c>
      <c r="AU21" s="113">
        <f t="shared" si="18"/>
        <v>-0.26205021543717405</v>
      </c>
      <c r="AV21" s="113">
        <f t="shared" si="18"/>
        <v>-0.30697537705194605</v>
      </c>
      <c r="AW21" s="113">
        <f t="shared" si="18"/>
        <v>-0.35188556524233794</v>
      </c>
      <c r="AX21" s="113">
        <f t="shared" si="18"/>
        <v>-0.39678077291602226</v>
      </c>
      <c r="AY21" s="113">
        <f t="shared" si="18"/>
        <v>-0.44166098568314133</v>
      </c>
      <c r="AZ21" s="113">
        <f t="shared" si="18"/>
        <v>-0.48652618182124058</v>
      </c>
      <c r="BA21" s="113">
        <f t="shared" si="18"/>
        <v>-0.53137633222219072</v>
      </c>
      <c r="BB21" s="113">
        <f t="shared" si="18"/>
        <v>-0.57621140032079599</v>
      </c>
      <c r="BC21" s="113">
        <f t="shared" si="18"/>
        <v>-0.62103134200467891</v>
      </c>
      <c r="BD21" s="113">
        <f t="shared" si="18"/>
        <v>-0.66583610550491668</v>
      </c>
      <c r="BE21" s="113">
        <f t="shared" si="18"/>
        <v>-0.71062563126679601</v>
      </c>
      <c r="BF21" s="113">
        <f t="shared" si="18"/>
        <v>-0.75539985179992131</v>
      </c>
      <c r="BG21" s="113">
        <f t="shared" si="19"/>
        <v>-0.80015869150678431</v>
      </c>
      <c r="BH21" s="113">
        <f t="shared" si="19"/>
        <v>-0.84490206648876287</v>
      </c>
      <c r="BI21" s="113">
        <f t="shared" si="19"/>
        <v>-0.88962988432835799</v>
      </c>
    </row>
    <row r="22" spans="1:61">
      <c r="A22" s="113">
        <f t="shared" si="21"/>
        <v>1.8024999999999998</v>
      </c>
      <c r="B22" s="110">
        <f t="shared" si="4"/>
        <v>0.4923368013881036</v>
      </c>
      <c r="C22" s="161">
        <f t="shared" si="5"/>
        <v>0.73779565331756214</v>
      </c>
      <c r="D22" s="113">
        <f t="shared" si="5"/>
        <v>2.5799203915443884E-2</v>
      </c>
      <c r="E22" s="113">
        <f t="shared" si="5"/>
        <v>5.3041363435339453E-3</v>
      </c>
      <c r="F22" s="113">
        <f t="shared" si="5"/>
        <v>1.4171398057519213E-2</v>
      </c>
      <c r="G22" s="113">
        <f t="shared" si="5"/>
        <v>4.1909665499887012E-3</v>
      </c>
      <c r="H22" s="113">
        <f t="shared" si="5"/>
        <v>2.0157648329816101E-3</v>
      </c>
      <c r="I22" s="113"/>
      <c r="J22" s="113"/>
      <c r="K22" s="113">
        <f t="shared" si="6"/>
        <v>0.80138112345181911</v>
      </c>
      <c r="L22" s="107">
        <f t="shared" si="7"/>
        <v>0.78927712301702957</v>
      </c>
      <c r="M22" s="111">
        <f t="shared" si="8"/>
        <v>0.88216653791243937</v>
      </c>
      <c r="N22" s="113">
        <f t="shared" si="9"/>
        <v>1.2104000434789488E-2</v>
      </c>
      <c r="O22" s="114">
        <f t="shared" si="10"/>
        <v>3.4858170913617683</v>
      </c>
      <c r="P22" s="111">
        <f t="shared" si="11"/>
        <v>3.4977147486805307</v>
      </c>
      <c r="Q22" s="111">
        <v>1.5324232</v>
      </c>
      <c r="R22" s="107">
        <f t="shared" si="12"/>
        <v>1.569974624618067</v>
      </c>
      <c r="S22" s="115">
        <v>0.90221363636363638</v>
      </c>
      <c r="T22" s="107">
        <f t="shared" si="20"/>
        <v>5.65</v>
      </c>
      <c r="U22" s="111">
        <f t="shared" si="13"/>
        <v>3.6835354569933076</v>
      </c>
      <c r="V22" s="111">
        <f t="shared" si="14"/>
        <v>3.5835354569933076</v>
      </c>
      <c r="W22" s="111">
        <f t="shared" si="15"/>
        <v>3.4977147486805307</v>
      </c>
      <c r="X22" s="111">
        <f t="shared" si="16"/>
        <v>6.2386543640083465</v>
      </c>
      <c r="Y22" s="115">
        <v>1.5840000000000001</v>
      </c>
      <c r="Z22" s="115">
        <v>0.81488640913970567</v>
      </c>
      <c r="AA22" s="113">
        <f t="shared" si="17"/>
        <v>7.1493342272740679E-3</v>
      </c>
      <c r="AB22" s="113">
        <f t="shared" si="17"/>
        <v>-3.7865642520572618E-2</v>
      </c>
      <c r="AC22" s="113">
        <f t="shared" si="17"/>
        <v>-8.2865345220246245E-2</v>
      </c>
      <c r="AD22" s="113">
        <f t="shared" si="17"/>
        <v>5.2179630513657274E-2</v>
      </c>
      <c r="AE22" s="113">
        <f t="shared" si="17"/>
        <v>9.7225299784458208E-2</v>
      </c>
      <c r="AF22" s="113">
        <f t="shared" si="17"/>
        <v>0.14228640357795344</v>
      </c>
      <c r="AG22" s="113">
        <f t="shared" si="17"/>
        <v>0.18736301168372294</v>
      </c>
      <c r="AH22" s="113">
        <f t="shared" si="17"/>
        <v>0.23245520232455952</v>
      </c>
      <c r="AI22" s="113">
        <f t="shared" si="17"/>
        <v>0.27756306236250644</v>
      </c>
      <c r="AJ22" s="113">
        <f t="shared" si="17"/>
        <v>0.32268668753031721</v>
      </c>
      <c r="AK22" s="113">
        <f t="shared" si="17"/>
        <v>0.36782618268981393</v>
      </c>
      <c r="AL22" s="113">
        <f t="shared" si="17"/>
        <v>0.41298166211882203</v>
      </c>
      <c r="AM22" s="113">
        <f t="shared" si="17"/>
        <v>0.45815324982857736</v>
      </c>
      <c r="AN22" s="113">
        <f t="shared" si="17"/>
        <v>0.50334107991374677</v>
      </c>
      <c r="AO22" s="113">
        <f t="shared" si="17"/>
        <v>0.54854529693747367</v>
      </c>
      <c r="AP22" s="113">
        <f t="shared" si="17"/>
        <v>0.59376605635415947</v>
      </c>
      <c r="AQ22" s="113">
        <f t="shared" si="18"/>
        <v>0.63900352497303348</v>
      </c>
      <c r="AR22" s="113">
        <f t="shared" si="18"/>
        <v>-0.12784981152226746</v>
      </c>
      <c r="AS22" s="113">
        <f t="shared" si="18"/>
        <v>-0.17281907133247809</v>
      </c>
      <c r="AT22" s="113">
        <f t="shared" si="18"/>
        <v>-0.21777314688725979</v>
      </c>
      <c r="AU22" s="113">
        <f t="shared" si="18"/>
        <v>-0.26271205280924959</v>
      </c>
      <c r="AV22" s="113">
        <f t="shared" si="18"/>
        <v>-0.30763579614388015</v>
      </c>
      <c r="AW22" s="113">
        <f t="shared" si="18"/>
        <v>-0.35254437637695746</v>
      </c>
      <c r="AX22" s="113">
        <f t="shared" si="18"/>
        <v>-0.39743778543337827</v>
      </c>
      <c r="AY22" s="113">
        <f t="shared" si="18"/>
        <v>-0.44231600765698104</v>
      </c>
      <c r="AZ22" s="113">
        <f t="shared" si="18"/>
        <v>-0.48717901977141087</v>
      </c>
      <c r="BA22" s="113">
        <f t="shared" si="18"/>
        <v>-0.53202679082177173</v>
      </c>
      <c r="BB22" s="113">
        <f t="shared" si="18"/>
        <v>-0.57685928209672221</v>
      </c>
      <c r="BC22" s="113">
        <f t="shared" si="18"/>
        <v>-0.62167644703055691</v>
      </c>
      <c r="BD22" s="113">
        <f t="shared" si="18"/>
        <v>-0.66647823108468907</v>
      </c>
      <c r="BE22" s="113">
        <f t="shared" si="18"/>
        <v>-0.71126457160782708</v>
      </c>
      <c r="BF22" s="113">
        <f t="shared" si="18"/>
        <v>-0.75603539767399675</v>
      </c>
      <c r="BG22" s="113">
        <f t="shared" si="19"/>
        <v>-0.80079062989741812</v>
      </c>
      <c r="BH22" s="113">
        <f t="shared" si="19"/>
        <v>-0.84553018022308879</v>
      </c>
      <c r="BI22" s="113">
        <f t="shared" si="19"/>
        <v>-0.89025395169175436</v>
      </c>
    </row>
    <row r="23" spans="1:61" ht="14" thickBot="1">
      <c r="A23" s="113">
        <f t="shared" si="21"/>
        <v>1.8249999999999997</v>
      </c>
      <c r="B23" s="110">
        <f t="shared" si="4"/>
        <v>0.49848247574662358</v>
      </c>
      <c r="C23" s="161">
        <f t="shared" si="5"/>
        <v>0.74734840209323339</v>
      </c>
      <c r="D23" s="113">
        <f t="shared" si="5"/>
        <v>2.0831180631225649E-2</v>
      </c>
      <c r="E23" s="113">
        <f t="shared" si="5"/>
        <v>4.3548685711558783E-3</v>
      </c>
      <c r="F23" s="113">
        <f t="shared" si="5"/>
        <v>1.2197911406883494E-2</v>
      </c>
      <c r="G23" s="113">
        <f t="shared" si="5"/>
        <v>3.5765884812564413E-3</v>
      </c>
      <c r="H23" s="113">
        <f t="shared" si="5"/>
        <v>1.718935268303404E-3</v>
      </c>
      <c r="I23" s="113"/>
      <c r="J23" s="113"/>
      <c r="K23" s="113">
        <f t="shared" si="6"/>
        <v>0.80230581379271293</v>
      </c>
      <c r="L23" s="107">
        <f t="shared" si="7"/>
        <v>0.79002788645205824</v>
      </c>
      <c r="M23" s="111">
        <f t="shared" si="8"/>
        <v>0.88217887804459527</v>
      </c>
      <c r="N23" s="113">
        <f t="shared" si="9"/>
        <v>1.2277927340654683E-2</v>
      </c>
      <c r="O23" s="114">
        <f t="shared" si="10"/>
        <v>3.4428412642079929</v>
      </c>
      <c r="P23" s="111">
        <f t="shared" si="11"/>
        <v>3.4979137103865088</v>
      </c>
      <c r="Q23" s="111">
        <v>1.53182</v>
      </c>
      <c r="R23" s="107">
        <f t="shared" si="12"/>
        <v>1.5699027262639258</v>
      </c>
      <c r="S23" s="115">
        <v>0.90058636363636357</v>
      </c>
      <c r="T23" s="107">
        <f t="shared" si="20"/>
        <v>5.65</v>
      </c>
      <c r="U23" s="111">
        <f t="shared" si="13"/>
        <v>3.6849879622854385</v>
      </c>
      <c r="V23" s="111">
        <f t="shared" si="14"/>
        <v>3.5849879622854384</v>
      </c>
      <c r="W23" s="111">
        <f t="shared" si="15"/>
        <v>3.4979137103865088</v>
      </c>
      <c r="X23" s="111">
        <f t="shared" si="16"/>
        <v>6.2479876227892799</v>
      </c>
      <c r="Y23" s="115">
        <v>1.5820000000000001</v>
      </c>
      <c r="Z23" s="115">
        <v>0.78673693059022887</v>
      </c>
      <c r="AA23" s="113">
        <f t="shared" si="17"/>
        <v>6.4996274925831696E-3</v>
      </c>
      <c r="AB23" s="113">
        <f t="shared" si="17"/>
        <v>-3.8515064170207829E-2</v>
      </c>
      <c r="AC23" s="113">
        <f t="shared" si="17"/>
        <v>-8.3514292151853395E-2</v>
      </c>
      <c r="AD23" s="113">
        <f t="shared" si="17"/>
        <v>5.1529829319182603E-2</v>
      </c>
      <c r="AE23" s="113">
        <f t="shared" si="17"/>
        <v>9.6575596047893619E-2</v>
      </c>
      <c r="AF23" s="113">
        <f t="shared" si="17"/>
        <v>0.14163699081636549</v>
      </c>
      <c r="AG23" s="113">
        <f t="shared" si="17"/>
        <v>0.18671408532874056</v>
      </c>
      <c r="AH23" s="113">
        <f t="shared" si="17"/>
        <v>0.23180696004728965</v>
      </c>
      <c r="AI23" s="113">
        <f t="shared" si="17"/>
        <v>0.27691570440975294</v>
      </c>
      <c r="AJ23" s="113">
        <f t="shared" si="17"/>
        <v>0.32204041707378628</v>
      </c>
      <c r="AK23" s="113">
        <f t="shared" si="17"/>
        <v>0.36718120619011313</v>
      </c>
      <c r="AL23" s="113">
        <f t="shared" si="17"/>
        <v>0.41233818970620145</v>
      </c>
      <c r="AM23" s="113">
        <f t="shared" si="17"/>
        <v>0.45751149570252631</v>
      </c>
      <c r="AN23" s="113">
        <f t="shared" si="17"/>
        <v>0.50270126276374716</v>
      </c>
      <c r="AO23" s="113">
        <f t="shared" si="17"/>
        <v>0.5479076403874269</v>
      </c>
      <c r="AP23" s="113">
        <f t="shared" si="17"/>
        <v>0.59313078943325015</v>
      </c>
      <c r="AQ23" s="113">
        <f t="shared" si="18"/>
        <v>0.63837088261607444</v>
      </c>
      <c r="AR23" s="113">
        <f t="shared" si="18"/>
        <v>-0.1284980948005317</v>
      </c>
      <c r="AS23" s="113">
        <f t="shared" si="18"/>
        <v>-0.17346650242928396</v>
      </c>
      <c r="AT23" s="113">
        <f t="shared" si="18"/>
        <v>-0.21841953739415931</v>
      </c>
      <c r="AU23" s="113">
        <f t="shared" si="18"/>
        <v>-0.2633572141516286</v>
      </c>
      <c r="AV23" s="113">
        <f t="shared" si="18"/>
        <v>-0.3082795392956123</v>
      </c>
      <c r="AW23" s="113">
        <f t="shared" si="18"/>
        <v>-0.353186511574344</v>
      </c>
      <c r="AX23" s="113">
        <f t="shared" si="18"/>
        <v>-0.39807812188717007</v>
      </c>
      <c r="AY23" s="113">
        <f t="shared" si="18"/>
        <v>-0.44295435326126725</v>
      </c>
      <c r="AZ23" s="113">
        <f t="shared" si="18"/>
        <v>-0.48781518080813813</v>
      </c>
      <c r="BA23" s="113">
        <f t="shared" si="18"/>
        <v>-0.53266057165962344</v>
      </c>
      <c r="BB23" s="113">
        <f t="shared" si="18"/>
        <v>-0.57749048488304766</v>
      </c>
      <c r="BC23" s="113">
        <f t="shared" si="18"/>
        <v>-0.62230487137498314</v>
      </c>
      <c r="BD23" s="113">
        <f t="shared" si="18"/>
        <v>-0.66710367373298385</v>
      </c>
      <c r="BE23" s="113">
        <f t="shared" si="18"/>
        <v>-0.7118868261045026</v>
      </c>
      <c r="BF23" s="113">
        <f t="shared" si="18"/>
        <v>-0.75665425401204955</v>
      </c>
      <c r="BG23" s="113">
        <f t="shared" si="19"/>
        <v>-0.80140587415349196</v>
      </c>
      <c r="BH23" s="113">
        <f t="shared" si="19"/>
        <v>-0.84614159417622503</v>
      </c>
      <c r="BI23" s="113">
        <f t="shared" si="19"/>
        <v>-0.89086131242374555</v>
      </c>
    </row>
    <row r="24" spans="1:61">
      <c r="A24" s="113">
        <f t="shared" si="21"/>
        <v>1.8474999999999997</v>
      </c>
      <c r="B24" s="110">
        <f t="shared" si="4"/>
        <v>0.50462815010514361</v>
      </c>
      <c r="C24" s="158">
        <f t="shared" si="5"/>
        <v>0.75707124507578827</v>
      </c>
      <c r="D24" s="113">
        <f t="shared" si="5"/>
        <v>1.6593810473152764E-2</v>
      </c>
      <c r="E24" s="113">
        <f t="shared" si="5"/>
        <v>3.5232918197009612E-3</v>
      </c>
      <c r="F24" s="113">
        <f t="shared" si="5"/>
        <v>1.0349124837166147E-2</v>
      </c>
      <c r="G24" s="113">
        <f t="shared" si="5"/>
        <v>3.0104008998478892E-3</v>
      </c>
      <c r="H24" s="113">
        <f t="shared" si="5"/>
        <v>1.4466210093638449E-3</v>
      </c>
      <c r="I24" s="113"/>
      <c r="J24" s="113"/>
      <c r="K24" s="113">
        <f t="shared" si="6"/>
        <v>0.80458660429816153</v>
      </c>
      <c r="L24" s="107">
        <f t="shared" si="7"/>
        <v>0.79199449411501999</v>
      </c>
      <c r="M24" s="111">
        <f t="shared" si="8"/>
        <v>0.88219077869098417</v>
      </c>
      <c r="N24" s="113">
        <f t="shared" si="9"/>
        <v>1.259211018314158E-2</v>
      </c>
      <c r="O24" s="114">
        <f t="shared" si="10"/>
        <v>3.4009122095694653</v>
      </c>
      <c r="P24" s="111">
        <f t="shared" si="11"/>
        <v>3.4981342658735541</v>
      </c>
      <c r="Q24" s="111">
        <v>1.5307900000000001</v>
      </c>
      <c r="R24" s="107">
        <f t="shared" si="12"/>
        <v>1.5698333913806919</v>
      </c>
      <c r="S24" s="115">
        <v>0.90058636363636357</v>
      </c>
      <c r="T24" s="107">
        <f t="shared" si="20"/>
        <v>5.65</v>
      </c>
      <c r="U24" s="111">
        <f t="shared" si="13"/>
        <v>3.6874708534196698</v>
      </c>
      <c r="V24" s="111">
        <f t="shared" si="14"/>
        <v>3.5874708534196698</v>
      </c>
      <c r="W24" s="111">
        <f t="shared" si="15"/>
        <v>3.4981342658735541</v>
      </c>
      <c r="X24" s="111">
        <f t="shared" si="16"/>
        <v>6.2573640729466184</v>
      </c>
      <c r="Y24" s="115">
        <v>1.581</v>
      </c>
      <c r="Z24" s="115">
        <v>0.75258625983543304</v>
      </c>
      <c r="AA24" s="113">
        <f t="shared" si="17"/>
        <v>5.8659782800941571E-3</v>
      </c>
      <c r="AB24" s="113">
        <f t="shared" si="17"/>
        <v>-3.9148429199476746E-2</v>
      </c>
      <c r="AC24" s="113">
        <f t="shared" si="17"/>
        <v>-8.4147183382659557E-2</v>
      </c>
      <c r="AD24" s="113">
        <f t="shared" si="17"/>
        <v>5.089608653825007E-2</v>
      </c>
      <c r="AE24" s="113">
        <f t="shared" si="17"/>
        <v>9.5941951620378926E-2</v>
      </c>
      <c r="AF24" s="113">
        <f t="shared" si="17"/>
        <v>0.14100363828584406</v>
      </c>
      <c r="AG24" s="113">
        <f t="shared" si="17"/>
        <v>0.18608122018369178</v>
      </c>
      <c r="AH24" s="113">
        <f t="shared" si="17"/>
        <v>0.23117478005441097</v>
      </c>
      <c r="AI24" s="113">
        <f t="shared" si="17"/>
        <v>0.2762844099590579</v>
      </c>
      <c r="AJ24" s="113">
        <f t="shared" si="17"/>
        <v>0.3214102115372594</v>
      </c>
      <c r="AK24" s="113">
        <f t="shared" si="17"/>
        <v>0.3665522962958272</v>
      </c>
      <c r="AL24" s="113">
        <f t="shared" si="17"/>
        <v>0.41171078592995475</v>
      </c>
      <c r="AM24" s="113">
        <f t="shared" si="17"/>
        <v>0.45688581267923406</v>
      </c>
      <c r="AN24" s="113">
        <f t="shared" si="17"/>
        <v>0.50207751972102355</v>
      </c>
      <c r="AO24" s="113">
        <f t="shared" si="17"/>
        <v>0.5472860616040256</v>
      </c>
      <c r="AP24" s="113">
        <f t="shared" si="17"/>
        <v>0.59251160472529918</v>
      </c>
      <c r="AQ24" s="113">
        <f t="shared" si="18"/>
        <v>0.63775432785434294</v>
      </c>
      <c r="AR24" s="113">
        <f t="shared" si="18"/>
        <v>-0.12913032331527882</v>
      </c>
      <c r="AS24" s="113">
        <f t="shared" si="18"/>
        <v>-0.1740978797104365</v>
      </c>
      <c r="AT24" s="113">
        <f t="shared" si="18"/>
        <v>-0.21904987502963935</v>
      </c>
      <c r="AU24" s="113">
        <f t="shared" si="18"/>
        <v>-0.26398632354190538</v>
      </c>
      <c r="AV24" s="113">
        <f t="shared" si="18"/>
        <v>-0.30890723136121423</v>
      </c>
      <c r="AW24" s="113">
        <f t="shared" si="18"/>
        <v>-0.35381259646252999</v>
      </c>
      <c r="AX24" s="113">
        <f t="shared" si="18"/>
        <v>-0.39870240867649603</v>
      </c>
      <c r="AY24" s="113">
        <f t="shared" si="18"/>
        <v>-0.443576649662768</v>
      </c>
      <c r="AZ24" s="113">
        <f t="shared" si="18"/>
        <v>-0.48843529286182247</v>
      </c>
      <c r="BA24" s="113">
        <f t="shared" si="18"/>
        <v>-0.53327830342494464</v>
      </c>
      <c r="BB24" s="113">
        <f t="shared" si="18"/>
        <v>-0.57810563812196336</v>
      </c>
      <c r="BC24" s="113">
        <f t="shared" si="18"/>
        <v>-0.62291724522616054</v>
      </c>
      <c r="BD24" s="113">
        <f t="shared" si="18"/>
        <v>-0.66771306437563416</v>
      </c>
      <c r="BE24" s="113">
        <f t="shared" si="18"/>
        <v>-0.71249302641023948</v>
      </c>
      <c r="BF24" s="113">
        <f t="shared" si="18"/>
        <v>-0.75725705318306835</v>
      </c>
      <c r="BG24" s="113">
        <f t="shared" si="19"/>
        <v>-0.8020050573452463</v>
      </c>
      <c r="BH24" s="113">
        <f t="shared" si="19"/>
        <v>-0.84673694210263706</v>
      </c>
      <c r="BI24" s="113">
        <f t="shared" si="19"/>
        <v>-0.89145260094283585</v>
      </c>
    </row>
    <row r="25" spans="1:61">
      <c r="A25" s="113">
        <f t="shared" si="21"/>
        <v>1.8699999999999997</v>
      </c>
      <c r="B25" s="110">
        <f t="shared" si="4"/>
        <v>0.51077382446366359</v>
      </c>
      <c r="C25" s="159">
        <f t="shared" si="5"/>
        <v>0.76567932752626588</v>
      </c>
      <c r="D25" s="113">
        <f t="shared" si="5"/>
        <v>1.2977561146207425E-2</v>
      </c>
      <c r="E25" s="113">
        <f t="shared" si="5"/>
        <v>2.7951919124533189E-3</v>
      </c>
      <c r="F25" s="113">
        <f t="shared" si="5"/>
        <v>8.6161431038902642E-3</v>
      </c>
      <c r="G25" s="113">
        <f t="shared" si="5"/>
        <v>2.4882560262927604E-3</v>
      </c>
      <c r="H25" s="113">
        <f t="shared" si="5"/>
        <v>1.1965060154289287E-3</v>
      </c>
      <c r="I25" s="113"/>
      <c r="J25" s="113"/>
      <c r="K25" s="113">
        <f t="shared" si="6"/>
        <v>0.80664394038778731</v>
      </c>
      <c r="L25" s="107">
        <f t="shared" si="7"/>
        <v>0.79375298573053865</v>
      </c>
      <c r="M25" s="111">
        <f t="shared" si="8"/>
        <v>0.88220226037027194</v>
      </c>
      <c r="N25" s="113">
        <f t="shared" si="9"/>
        <v>1.2890954657248689E-2</v>
      </c>
      <c r="O25" s="114">
        <f t="shared" si="10"/>
        <v>3.3599921428767847</v>
      </c>
      <c r="P25" s="111">
        <f t="shared" si="11"/>
        <v>3.4983461907266413</v>
      </c>
      <c r="Q25" s="111">
        <v>1.5298099999999999</v>
      </c>
      <c r="R25" s="107">
        <f t="shared" si="12"/>
        <v>1.5697665001197167</v>
      </c>
      <c r="S25" s="115">
        <v>0.90058636363636357</v>
      </c>
      <c r="T25" s="107">
        <f t="shared" si="20"/>
        <v>5.65</v>
      </c>
      <c r="U25" s="111">
        <f t="shared" si="13"/>
        <v>3.6898363261892944</v>
      </c>
      <c r="V25" s="111">
        <f t="shared" si="14"/>
        <v>3.5898363261892943</v>
      </c>
      <c r="W25" s="111">
        <f t="shared" si="15"/>
        <v>3.4983461907266413</v>
      </c>
      <c r="X25" s="111">
        <f t="shared" si="16"/>
        <v>6.2667356511432963</v>
      </c>
      <c r="Y25" s="115">
        <v>1.58</v>
      </c>
      <c r="Z25" s="115">
        <v>0.71442585824575189</v>
      </c>
      <c r="AA25" s="113">
        <f t="shared" si="17"/>
        <v>5.2477947943445416E-3</v>
      </c>
      <c r="AB25" s="113">
        <f t="shared" si="17"/>
        <v>-3.9766328414125938E-2</v>
      </c>
      <c r="AC25" s="113">
        <f t="shared" si="17"/>
        <v>-8.47646087312042E-2</v>
      </c>
      <c r="AD25" s="113">
        <f t="shared" si="17"/>
        <v>5.027780938252395E-2</v>
      </c>
      <c r="AE25" s="113">
        <f t="shared" si="17"/>
        <v>9.5323772716980032E-2</v>
      </c>
      <c r="AF25" s="113">
        <f t="shared" si="17"/>
        <v>0.14038575120064903</v>
      </c>
      <c r="AG25" s="113">
        <f t="shared" si="17"/>
        <v>0.18546382045743262</v>
      </c>
      <c r="AH25" s="113">
        <f t="shared" si="17"/>
        <v>0.2305580655444896</v>
      </c>
      <c r="AI25" s="113">
        <f t="shared" si="17"/>
        <v>0.27566858119363818</v>
      </c>
      <c r="AJ25" s="113">
        <f t="shared" si="17"/>
        <v>0.32079547208350329</v>
      </c>
      <c r="AK25" s="113">
        <f t="shared" si="17"/>
        <v>0.36593885314428259</v>
      </c>
      <c r="AL25" s="113">
        <f t="shared" si="17"/>
        <v>0.41109884989726675</v>
      </c>
      <c r="AM25" s="113">
        <f t="shared" si="17"/>
        <v>0.45627559883153945</v>
      </c>
      <c r="AN25" s="113">
        <f t="shared" si="17"/>
        <v>0.50146924782060676</v>
      </c>
      <c r="AO25" s="113">
        <f t="shared" si="17"/>
        <v>0.54667995658206381</v>
      </c>
      <c r="AP25" s="113">
        <f t="shared" si="17"/>
        <v>0.59190789718381076</v>
      </c>
      <c r="AQ25" s="113">
        <f t="shared" si="18"/>
        <v>0.63715325460078309</v>
      </c>
      <c r="AR25" s="113">
        <f t="shared" si="18"/>
        <v>-0.12974708589962244</v>
      </c>
      <c r="AS25" s="113">
        <f t="shared" si="18"/>
        <v>-0.174713791024598</v>
      </c>
      <c r="AT25" s="113">
        <f t="shared" si="18"/>
        <v>-0.21966474665799612</v>
      </c>
      <c r="AU25" s="113">
        <f t="shared" si="18"/>
        <v>-0.26459996685911974</v>
      </c>
      <c r="AV25" s="113">
        <f t="shared" si="18"/>
        <v>-0.30951945723250912</v>
      </c>
      <c r="AW25" s="113">
        <f t="shared" si="18"/>
        <v>-0.35442321494298917</v>
      </c>
      <c r="AX25" s="113">
        <f t="shared" si="18"/>
        <v>-0.39931122870805896</v>
      </c>
      <c r="AY25" s="113">
        <f t="shared" si="18"/>
        <v>-0.44418347876757563</v>
      </c>
      <c r="AZ25" s="113">
        <f t="shared" si="18"/>
        <v>-0.48903993683054203</v>
      </c>
      <c r="BA25" s="113">
        <f t="shared" si="18"/>
        <v>-0.53388056599866296</v>
      </c>
      <c r="BB25" s="113">
        <f t="shared" si="18"/>
        <v>-0.57870532066618741</v>
      </c>
      <c r="BC25" s="113">
        <f t="shared" si="18"/>
        <v>-0.62351414639539726</v>
      </c>
      <c r="BD25" s="113">
        <f t="shared" si="18"/>
        <v>-0.66830697976694409</v>
      </c>
      <c r="BE25" s="113">
        <f t="shared" si="18"/>
        <v>-0.71308374820406373</v>
      </c>
      <c r="BF25" s="113">
        <f t="shared" si="18"/>
        <v>-0.75784436976951675</v>
      </c>
      <c r="BG25" s="113">
        <f t="shared" si="19"/>
        <v>-0.80258875293390519</v>
      </c>
      <c r="BH25" s="113">
        <f t="shared" si="19"/>
        <v>-0.84731679631380641</v>
      </c>
      <c r="BI25" s="113">
        <f t="shared" si="19"/>
        <v>-0.89202838837793019</v>
      </c>
    </row>
    <row r="26" spans="1:61">
      <c r="A26" s="113">
        <f t="shared" si="21"/>
        <v>1.8924999999999996</v>
      </c>
      <c r="B26" s="110">
        <f t="shared" si="4"/>
        <v>0.51691949882218369</v>
      </c>
      <c r="C26" s="159">
        <f t="shared" si="5"/>
        <v>0.77321987149086591</v>
      </c>
      <c r="D26" s="113">
        <f t="shared" si="5"/>
        <v>9.9237967704577344E-3</v>
      </c>
      <c r="E26" s="113">
        <f t="shared" si="5"/>
        <v>2.165464951363084E-3</v>
      </c>
      <c r="F26" s="113">
        <f t="shared" si="5"/>
        <v>7.0136115022925534E-3</v>
      </c>
      <c r="G26" s="113">
        <f t="shared" si="5"/>
        <v>2.0128425587154775E-3</v>
      </c>
      <c r="H26" s="113">
        <f t="shared" si="5"/>
        <v>9.6956265121475029E-4</v>
      </c>
      <c r="I26" s="113"/>
      <c r="J26" s="113"/>
      <c r="K26" s="113">
        <f t="shared" si="6"/>
        <v>0.80843049936275635</v>
      </c>
      <c r="L26" s="107">
        <f t="shared" si="7"/>
        <v>0.79530514992490942</v>
      </c>
      <c r="M26" s="111">
        <f t="shared" si="8"/>
        <v>0.88221334242380167</v>
      </c>
      <c r="N26" s="113">
        <f t="shared" si="9"/>
        <v>1.3125349437846929E-2</v>
      </c>
      <c r="O26" s="114">
        <f t="shared" si="10"/>
        <v>3.3200450764489235</v>
      </c>
      <c r="P26" s="111">
        <f t="shared" si="11"/>
        <v>3.4985401412001562</v>
      </c>
      <c r="Q26" s="111">
        <v>1.5290299999999999</v>
      </c>
      <c r="R26" s="107">
        <f t="shared" si="12"/>
        <v>1.5697019395204226</v>
      </c>
      <c r="S26" s="115">
        <v>0.90058636363636357</v>
      </c>
      <c r="T26" s="107">
        <f t="shared" si="20"/>
        <v>5.65</v>
      </c>
      <c r="U26" s="111">
        <f t="shared" si="13"/>
        <v>3.6917212210434482</v>
      </c>
      <c r="V26" s="111">
        <f t="shared" si="14"/>
        <v>3.5917212210434482</v>
      </c>
      <c r="W26" s="111">
        <f t="shared" si="15"/>
        <v>3.4985401412001562</v>
      </c>
      <c r="X26" s="111">
        <f t="shared" si="16"/>
        <v>6.2760872355114969</v>
      </c>
      <c r="Y26" s="115">
        <v>1.5790000000000002</v>
      </c>
      <c r="Z26" s="115">
        <v>0.6746366985229455</v>
      </c>
      <c r="AA26" s="113">
        <f t="shared" si="17"/>
        <v>4.6445150943848906E-3</v>
      </c>
      <c r="AB26" s="113">
        <f t="shared" si="17"/>
        <v>-4.0369323443779949E-2</v>
      </c>
      <c r="AC26" s="113">
        <f t="shared" si="17"/>
        <v>-8.5367129516478513E-2</v>
      </c>
      <c r="AD26" s="113">
        <f t="shared" si="17"/>
        <v>4.9674435598723587E-2</v>
      </c>
      <c r="AE26" s="113">
        <f t="shared" si="17"/>
        <v>9.472049677085001E-2</v>
      </c>
      <c r="AF26" s="113">
        <f t="shared" si="17"/>
        <v>0.1397827666789947</v>
      </c>
      <c r="AG26" s="113">
        <f t="shared" si="17"/>
        <v>0.18486132295182794</v>
      </c>
      <c r="AH26" s="113">
        <f t="shared" si="17"/>
        <v>0.22995625300170242</v>
      </c>
      <c r="AI26" s="113">
        <f t="shared" si="17"/>
        <v>0.27506765427884083</v>
      </c>
      <c r="AJ26" s="113">
        <f t="shared" si="17"/>
        <v>0.32019563455823269</v>
      </c>
      <c r="AK26" s="113">
        <f t="shared" si="17"/>
        <v>0.36534031226126357</v>
      </c>
      <c r="AL26" s="113">
        <f t="shared" si="17"/>
        <v>0.41050181681438919</v>
      </c>
      <c r="AM26" s="113">
        <f t="shared" si="17"/>
        <v>0.45568028904748126</v>
      </c>
      <c r="AN26" s="113">
        <f t="shared" si="17"/>
        <v>0.50087588163482843</v>
      </c>
      <c r="AO26" s="113">
        <f t="shared" si="17"/>
        <v>0.54608875958216974</v>
      </c>
      <c r="AP26" s="113">
        <f t="shared" si="17"/>
        <v>0.59131910076357985</v>
      </c>
      <c r="AQ26" s="113">
        <f t="shared" si="18"/>
        <v>0.63656709651252918</v>
      </c>
      <c r="AR26" s="113">
        <f t="shared" si="18"/>
        <v>-0.13034894356221383</v>
      </c>
      <c r="AS26" s="113">
        <f t="shared" si="18"/>
        <v>-0.17531479706989203</v>
      </c>
      <c r="AT26" s="113">
        <f t="shared" si="18"/>
        <v>-0.22026471266607212</v>
      </c>
      <c r="AU26" s="113">
        <f t="shared" si="18"/>
        <v>-0.2651987041774243</v>
      </c>
      <c r="AV26" s="113">
        <f t="shared" si="18"/>
        <v>-0.31011677666880033</v>
      </c>
      <c r="AW26" s="113">
        <f t="shared" si="18"/>
        <v>-0.35501892645716038</v>
      </c>
      <c r="AX26" s="113">
        <f t="shared" si="18"/>
        <v>-0.39990514110144654</v>
      </c>
      <c r="AY26" s="113">
        <f t="shared" si="18"/>
        <v>-0.44477539936833815</v>
      </c>
      <c r="AZ26" s="113">
        <f t="shared" si="18"/>
        <v>-0.48962967117366707</v>
      </c>
      <c r="BA26" s="113">
        <f t="shared" si="18"/>
        <v>-0.53446791749911671</v>
      </c>
      <c r="BB26" s="113">
        <f t="shared" si="18"/>
        <v>-0.57929009028366341</v>
      </c>
      <c r="BC26" s="113">
        <f t="shared" si="18"/>
        <v>-0.62409613228905214</v>
      </c>
      <c r="BD26" s="113">
        <f t="shared" si="18"/>
        <v>-0.668885976938419</v>
      </c>
      <c r="BE26" s="113">
        <f t="shared" si="18"/>
        <v>-0.71365954812699028</v>
      </c>
      <c r="BF26" s="113">
        <f t="shared" si="18"/>
        <v>-0.75841676000358083</v>
      </c>
      <c r="BG26" s="113">
        <f t="shared" si="19"/>
        <v>-0.80315751672140412</v>
      </c>
      <c r="BH26" s="113">
        <f t="shared" si="19"/>
        <v>-0.84788171215646979</v>
      </c>
      <c r="BI26" s="113">
        <f t="shared" si="19"/>
        <v>-0.89258922959158415</v>
      </c>
    </row>
    <row r="27" spans="1:61">
      <c r="A27" s="113">
        <f t="shared" si="21"/>
        <v>1.9149999999999996</v>
      </c>
      <c r="B27" s="110">
        <f t="shared" si="4"/>
        <v>0.52306517318070367</v>
      </c>
      <c r="C27" s="159">
        <f t="shared" si="5"/>
        <v>0.77974089778594469</v>
      </c>
      <c r="D27" s="113">
        <f t="shared" si="5"/>
        <v>7.378113051508841E-3</v>
      </c>
      <c r="E27" s="113">
        <f t="shared" si="5"/>
        <v>1.6286983098835947E-3</v>
      </c>
      <c r="F27" s="113">
        <f t="shared" si="5"/>
        <v>5.5542466414765599E-3</v>
      </c>
      <c r="G27" s="113">
        <f t="shared" si="5"/>
        <v>1.5861893682162418E-3</v>
      </c>
      <c r="H27" s="113">
        <f t="shared" si="5"/>
        <v>7.6645159153441089E-4</v>
      </c>
      <c r="I27" s="113"/>
      <c r="J27" s="113"/>
      <c r="K27" s="113">
        <f t="shared" si="6"/>
        <v>0.81007078942214583</v>
      </c>
      <c r="L27" s="107">
        <f t="shared" si="7"/>
        <v>0.7966545967485642</v>
      </c>
      <c r="M27" s="111">
        <f t="shared" si="8"/>
        <v>0.88222404309528457</v>
      </c>
      <c r="N27" s="113">
        <f t="shared" si="9"/>
        <v>1.3416192673581682E-2</v>
      </c>
      <c r="O27" s="114">
        <f t="shared" si="10"/>
        <v>3.2810367139318997</v>
      </c>
      <c r="P27" s="111">
        <f t="shared" si="11"/>
        <v>3.4987400173434766</v>
      </c>
      <c r="Q27" s="111">
        <v>1.5280800000000001</v>
      </c>
      <c r="R27" s="107">
        <f t="shared" si="12"/>
        <v>1.5696396030431581</v>
      </c>
      <c r="S27" s="115">
        <v>0.90058636363636357</v>
      </c>
      <c r="T27" s="107">
        <f t="shared" si="20"/>
        <v>5.65</v>
      </c>
      <c r="U27" s="111">
        <f t="shared" si="13"/>
        <v>3.6940195307871915</v>
      </c>
      <c r="V27" s="111">
        <f t="shared" si="14"/>
        <v>3.5940195307871914</v>
      </c>
      <c r="W27" s="111">
        <f t="shared" si="15"/>
        <v>3.4987400173434766</v>
      </c>
      <c r="X27" s="111">
        <f t="shared" si="16"/>
        <v>6.2854561263165687</v>
      </c>
      <c r="Y27" s="115">
        <v>1.5780000000000001</v>
      </c>
      <c r="Z27" s="115">
        <v>0.63480642355834571</v>
      </c>
      <c r="AA27" s="113">
        <f t="shared" si="17"/>
        <v>4.0556058757852537E-3</v>
      </c>
      <c r="AB27" s="113">
        <f t="shared" si="17"/>
        <v>-4.0957948360672694E-2</v>
      </c>
      <c r="AC27" s="113">
        <f t="shared" si="17"/>
        <v>-8.5955280576193976E-2</v>
      </c>
      <c r="AD27" s="113">
        <f t="shared" si="17"/>
        <v>4.9085432652845748E-2</v>
      </c>
      <c r="AE27" s="113">
        <f t="shared" si="17"/>
        <v>9.4131592021427596E-2</v>
      </c>
      <c r="AF27" s="113">
        <f t="shared" si="17"/>
        <v>0.13919415373727298</v>
      </c>
      <c r="AG27" s="113">
        <f t="shared" si="17"/>
        <v>0.18427319746434317</v>
      </c>
      <c r="AH27" s="113">
        <f t="shared" si="17"/>
        <v>0.22936881300944437</v>
      </c>
      <c r="AI27" s="113">
        <f t="shared" si="17"/>
        <v>0.27448110058972552</v>
      </c>
      <c r="AJ27" s="113">
        <f t="shared" si="17"/>
        <v>0.31961017113494972</v>
      </c>
      <c r="AK27" s="113">
        <f t="shared" si="17"/>
        <v>0.36475614662672479</v>
      </c>
      <c r="AL27" s="113">
        <f t="shared" si="17"/>
        <v>0.40991916047719112</v>
      </c>
      <c r="AM27" s="113">
        <f t="shared" si="17"/>
        <v>0.45509935795001238</v>
      </c>
      <c r="AN27" s="113">
        <f t="shared" si="17"/>
        <v>0.5002968966269028</v>
      </c>
      <c r="AO27" s="113">
        <f t="shared" si="17"/>
        <v>0.54551194692335558</v>
      </c>
      <c r="AP27" s="113">
        <f t="shared" ref="AP27:BE42" si="22">$M$5*AP$10+($O27*$R27*COS(PI()/180*$P27)-($O27^2*1^2-($O27*$R27*SIN(PI()/180*$P27)+$M$5*AP$10)^2)^0.5)*TAN(PI()/180*$D$6)</f>
        <v>0.59074469265772755</v>
      </c>
      <c r="AQ27" s="113">
        <f t="shared" si="22"/>
        <v>0.63599533167838218</v>
      </c>
      <c r="AR27" s="113">
        <f t="shared" si="22"/>
        <v>-0.13093643190412041</v>
      </c>
      <c r="AS27" s="113">
        <f t="shared" si="22"/>
        <v>-0.1759014342087355</v>
      </c>
      <c r="AT27" s="113">
        <f t="shared" si="22"/>
        <v>-0.22085031017565213</v>
      </c>
      <c r="AU27" s="113">
        <f t="shared" si="18"/>
        <v>-0.26578307337592244</v>
      </c>
      <c r="AV27" s="113">
        <f t="shared" si="18"/>
        <v>-0.31069972830429438</v>
      </c>
      <c r="AW27" s="113">
        <f t="shared" si="18"/>
        <v>-0.35560027039186637</v>
      </c>
      <c r="AX27" s="113">
        <f t="shared" si="18"/>
        <v>-0.40048468599322379</v>
      </c>
      <c r="AY27" s="113">
        <f t="shared" si="18"/>
        <v>-0.44535295234797212</v>
      </c>
      <c r="AZ27" s="113">
        <f t="shared" si="18"/>
        <v>-0.49020503751641448</v>
      </c>
      <c r="BA27" s="113">
        <f t="shared" si="18"/>
        <v>-0.53504090028894613</v>
      </c>
      <c r="BB27" s="113">
        <f t="shared" si="18"/>
        <v>-0.57986049006856633</v>
      </c>
      <c r="BC27" s="113">
        <f t="shared" si="18"/>
        <v>-0.62466374672571945</v>
      </c>
      <c r="BD27" s="113">
        <f t="shared" si="18"/>
        <v>-0.66945060042448556</v>
      </c>
      <c r="BE27" s="113">
        <f t="shared" si="18"/>
        <v>-0.71422097141893504</v>
      </c>
      <c r="BF27" s="113">
        <f t="shared" si="18"/>
        <v>-0.75897476981824119</v>
      </c>
      <c r="BG27" s="113">
        <f t="shared" si="19"/>
        <v>-0.80371189531890608</v>
      </c>
      <c r="BH27" s="113">
        <f t="shared" si="19"/>
        <v>-0.84843223690219594</v>
      </c>
      <c r="BI27" s="113">
        <f t="shared" si="19"/>
        <v>-0.89313567249459835</v>
      </c>
    </row>
    <row r="28" spans="1:61">
      <c r="A28" s="113">
        <f t="shared" si="21"/>
        <v>1.9374999999999996</v>
      </c>
      <c r="B28" s="110">
        <f t="shared" si="4"/>
        <v>0.52921084753922365</v>
      </c>
      <c r="C28" s="159">
        <f t="shared" si="5"/>
        <v>0.78529079015077552</v>
      </c>
      <c r="D28" s="113">
        <f t="shared" si="5"/>
        <v>5.2901695350893504E-3</v>
      </c>
      <c r="E28" s="113">
        <f t="shared" si="5"/>
        <v>1.1792950770747345E-3</v>
      </c>
      <c r="F28" s="113">
        <f t="shared" si="5"/>
        <v>4.2489222457943046E-3</v>
      </c>
      <c r="G28" s="113">
        <f t="shared" si="5"/>
        <v>1.2097212448272934E-3</v>
      </c>
      <c r="H28" s="113">
        <f t="shared" si="5"/>
        <v>5.8755230379092772E-4</v>
      </c>
      <c r="I28" s="113"/>
      <c r="J28" s="113"/>
      <c r="K28" s="113">
        <f t="shared" si="6"/>
        <v>0.81151435297582752</v>
      </c>
      <c r="L28" s="107">
        <f t="shared" si="7"/>
        <v>0.79780645055735211</v>
      </c>
      <c r="M28" s="111">
        <f t="shared" si="8"/>
        <v>0.88223437960430573</v>
      </c>
      <c r="N28" s="113">
        <f t="shared" si="9"/>
        <v>1.3707902418475464E-2</v>
      </c>
      <c r="O28" s="114">
        <f t="shared" si="10"/>
        <v>3.2429343520926905</v>
      </c>
      <c r="P28" s="111">
        <f t="shared" si="11"/>
        <v>3.4989351697565438</v>
      </c>
      <c r="Q28" s="111">
        <v>1.5271300000000003</v>
      </c>
      <c r="R28" s="107">
        <f t="shared" si="12"/>
        <v>1.5695793901383941</v>
      </c>
      <c r="S28" s="115">
        <v>0.90058636363636357</v>
      </c>
      <c r="T28" s="107">
        <f t="shared" si="20"/>
        <v>5.65</v>
      </c>
      <c r="U28" s="111">
        <f t="shared" si="13"/>
        <v>3.6963207059681964</v>
      </c>
      <c r="V28" s="111">
        <f t="shared" si="14"/>
        <v>3.5963207059681963</v>
      </c>
      <c r="W28" s="111">
        <f t="shared" si="15"/>
        <v>3.4989351697565438</v>
      </c>
      <c r="X28" s="111">
        <f t="shared" si="16"/>
        <v>6.294825186111674</v>
      </c>
      <c r="Y28" s="115">
        <v>1.5760000000000001</v>
      </c>
      <c r="Z28" s="115">
        <v>0.59595760504056361</v>
      </c>
      <c r="AA28" s="113">
        <f t="shared" ref="AA28:AP43" si="23">$M$5*AA$10+($O28*$R28*COS(PI()/180*$P28)-($O28^2*1^2-($O28*$R28*SIN(PI()/180*$P28)+$M$5*AA$10)^2)^0.5)*TAN(PI()/180*$D$6)</f>
        <v>3.480557390566047E-3</v>
      </c>
      <c r="AB28" s="113">
        <f t="shared" si="23"/>
        <v>-4.153271255991995E-2</v>
      </c>
      <c r="AC28" s="113">
        <f t="shared" si="23"/>
        <v>-8.6529570953396959E-2</v>
      </c>
      <c r="AD28" s="113">
        <f t="shared" si="23"/>
        <v>4.8510290442923154E-2</v>
      </c>
      <c r="AE28" s="113">
        <f t="shared" si="23"/>
        <v>9.3556548011390267E-2</v>
      </c>
      <c r="AF28" s="113">
        <f t="shared" si="23"/>
        <v>0.13861940156128577</v>
      </c>
      <c r="AG28" s="113">
        <f t="shared" si="23"/>
        <v>0.18369893282233113</v>
      </c>
      <c r="AH28" s="113">
        <f t="shared" si="23"/>
        <v>0.22879523403510316</v>
      </c>
      <c r="AI28" s="113">
        <f t="shared" si="23"/>
        <v>0.27390840823238155</v>
      </c>
      <c r="AJ28" s="113">
        <f t="shared" si="23"/>
        <v>0.31903856955743987</v>
      </c>
      <c r="AK28" s="113">
        <f t="shared" si="23"/>
        <v>0.36418584362163708</v>
      </c>
      <c r="AL28" s="113">
        <f t="shared" si="23"/>
        <v>0.40935036790400958</v>
      </c>
      <c r="AM28" s="113">
        <f t="shared" si="23"/>
        <v>0.4545322921959401</v>
      </c>
      <c r="AN28" s="113">
        <f t="shared" si="23"/>
        <v>0.49973177909440653</v>
      </c>
      <c r="AO28" s="113">
        <f t="shared" si="23"/>
        <v>0.54494900454778639</v>
      </c>
      <c r="AP28" s="113">
        <f t="shared" si="23"/>
        <v>0.59018415845872818</v>
      </c>
      <c r="AQ28" s="113">
        <f t="shared" si="22"/>
        <v>0.63543744534920588</v>
      </c>
      <c r="AR28" s="113">
        <f t="shared" si="22"/>
        <v>-0.1315100596167009</v>
      </c>
      <c r="AS28" s="113">
        <f t="shared" si="22"/>
        <v>-0.17647421078068584</v>
      </c>
      <c r="AT28" s="113">
        <f t="shared" si="22"/>
        <v>-0.22142204717379807</v>
      </c>
      <c r="AU28" s="113">
        <f t="shared" si="22"/>
        <v>-0.26635358208781618</v>
      </c>
      <c r="AV28" s="113">
        <f t="shared" si="22"/>
        <v>-0.31126881941620244</v>
      </c>
      <c r="AW28" s="113">
        <f t="shared" si="22"/>
        <v>-0.35616775366532327</v>
      </c>
      <c r="AX28" s="113">
        <f t="shared" si="22"/>
        <v>-0.4010503699386152</v>
      </c>
      <c r="AY28" s="113">
        <f t="shared" si="22"/>
        <v>-0.44591664389358954</v>
      </c>
      <c r="AZ28" s="113">
        <f t="shared" si="22"/>
        <v>-0.49076654167138506</v>
      </c>
      <c r="BA28" s="113">
        <f t="shared" si="22"/>
        <v>-0.53560001979839233</v>
      </c>
      <c r="BB28" s="113">
        <f t="shared" si="22"/>
        <v>-0.58041702505927917</v>
      </c>
      <c r="BC28" s="113">
        <f t="shared" si="22"/>
        <v>-0.6252174943405483</v>
      </c>
      <c r="BD28" s="113">
        <f t="shared" si="22"/>
        <v>-0.67000135444354048</v>
      </c>
      <c r="BE28" s="113">
        <f t="shared" si="22"/>
        <v>-0.71476852186557893</v>
      </c>
      <c r="BF28" s="113">
        <f t="shared" ref="BA28:BI43" si="24">$M$5*BF$10+($O28*$R28*COS(PI()/180*$P28)-($O28^2*1^2-($O28*$R28*SIN(PI()/180*$P28)+$M$5*BF$10)^2)^0.5)*TAN(PI()/180*$D$6)</f>
        <v>-0.75951890254770249</v>
      </c>
      <c r="BG28" s="113">
        <f t="shared" si="24"/>
        <v>-0.80425239158717443</v>
      </c>
      <c r="BH28" s="113">
        <f t="shared" si="24"/>
        <v>-0.8489688729126702</v>
      </c>
      <c r="BI28" s="113">
        <f t="shared" si="24"/>
        <v>-0.89366821891972781</v>
      </c>
    </row>
    <row r="29" spans="1:61">
      <c r="A29" s="113">
        <f t="shared" si="21"/>
        <v>1.9599999999999995</v>
      </c>
      <c r="B29" s="110">
        <f t="shared" si="4"/>
        <v>0.53535652189774363</v>
      </c>
      <c r="C29" s="159">
        <f t="shared" si="5"/>
        <v>0.78991785854447816</v>
      </c>
      <c r="D29" s="113">
        <f t="shared" si="5"/>
        <v>3.6135112657370797E-3</v>
      </c>
      <c r="E29" s="113">
        <f t="shared" si="5"/>
        <v>8.1157548728720455E-4</v>
      </c>
      <c r="F29" s="113">
        <f t="shared" si="5"/>
        <v>3.1067879681045364E-3</v>
      </c>
      <c r="G29" s="113">
        <f t="shared" si="5"/>
        <v>8.843237057666436E-4</v>
      </c>
      <c r="H29" s="113">
        <f t="shared" si="5"/>
        <v>4.3299839260962155E-4</v>
      </c>
      <c r="I29" s="113"/>
      <c r="J29" s="113"/>
      <c r="K29" s="113">
        <f t="shared" si="6"/>
        <v>0.81276750404009968</v>
      </c>
      <c r="L29" s="107">
        <f t="shared" si="7"/>
        <v>0.79876705536398307</v>
      </c>
      <c r="M29" s="111">
        <f t="shared" si="8"/>
        <v>0.88224436821418339</v>
      </c>
      <c r="N29" s="113">
        <f t="shared" si="9"/>
        <v>1.4000448676116651E-2</v>
      </c>
      <c r="O29" s="114">
        <f t="shared" si="10"/>
        <v>3.2057067893773405</v>
      </c>
      <c r="P29" s="111">
        <f t="shared" si="11"/>
        <v>3.4991258090638588</v>
      </c>
      <c r="Q29" s="111">
        <v>1.5261800000000005</v>
      </c>
      <c r="R29" s="107">
        <f t="shared" si="12"/>
        <v>1.5695212058490831</v>
      </c>
      <c r="S29" s="115">
        <v>0.90058636363636357</v>
      </c>
      <c r="T29" s="107">
        <f t="shared" si="20"/>
        <v>5.65</v>
      </c>
      <c r="U29" s="111">
        <f t="shared" si="13"/>
        <v>3.6986247519523108</v>
      </c>
      <c r="V29" s="111">
        <f t="shared" si="14"/>
        <v>3.5986247519523107</v>
      </c>
      <c r="W29" s="111">
        <f t="shared" si="15"/>
        <v>3.4991258090638588</v>
      </c>
      <c r="X29" s="111">
        <f t="shared" si="16"/>
        <v>6.3041944151569531</v>
      </c>
      <c r="Y29" s="115">
        <v>1.57</v>
      </c>
      <c r="Z29" s="115">
        <v>0.59595683847432857</v>
      </c>
      <c r="AA29" s="113">
        <f t="shared" si="23"/>
        <v>2.9188843060691735E-3</v>
      </c>
      <c r="AB29" s="113">
        <f t="shared" si="23"/>
        <v>-4.2094101374123602E-2</v>
      </c>
      <c r="AC29" s="113">
        <f t="shared" si="23"/>
        <v>-8.7090485980446941E-2</v>
      </c>
      <c r="AD29" s="113">
        <f t="shared" si="23"/>
        <v>4.794852363629401E-2</v>
      </c>
      <c r="AE29" s="113">
        <f t="shared" si="23"/>
        <v>9.299487940808035E-2</v>
      </c>
      <c r="AF29" s="113">
        <f t="shared" si="23"/>
        <v>0.13805802481843782</v>
      </c>
      <c r="AG29" s="113">
        <f t="shared" si="23"/>
        <v>0.18313804369347125</v>
      </c>
      <c r="AH29" s="113">
        <f t="shared" si="23"/>
        <v>0.2282350307471156</v>
      </c>
      <c r="AI29" s="113">
        <f t="shared" si="23"/>
        <v>0.27334909187688805</v>
      </c>
      <c r="AJ29" s="113">
        <f t="shared" si="23"/>
        <v>0.31848034449886309</v>
      </c>
      <c r="AK29" s="113">
        <f t="shared" si="23"/>
        <v>0.36362891792441093</v>
      </c>
      <c r="AL29" s="113">
        <f t="shared" si="23"/>
        <v>0.40879495378161235</v>
      </c>
      <c r="AM29" s="113">
        <f t="shared" si="23"/>
        <v>0.45397860648467631</v>
      </c>
      <c r="AN29" s="113">
        <f t="shared" si="23"/>
        <v>0.49918004375515085</v>
      </c>
      <c r="AO29" s="113">
        <f t="shared" si="23"/>
        <v>0.5443994471992355</v>
      </c>
      <c r="AP29" s="113">
        <f t="shared" si="23"/>
        <v>0.58963701294609161</v>
      </c>
      <c r="AQ29" s="113">
        <f t="shared" si="22"/>
        <v>0.63489295235271226</v>
      </c>
      <c r="AR29" s="113">
        <f t="shared" si="22"/>
        <v>-0.13207031203166697</v>
      </c>
      <c r="AS29" s="113">
        <f t="shared" si="22"/>
        <v>-0.17703361211609719</v>
      </c>
      <c r="AT29" s="113">
        <f t="shared" si="22"/>
        <v>-0.22198040898840579</v>
      </c>
      <c r="AU29" s="113">
        <f t="shared" si="22"/>
        <v>-0.26691071563696006</v>
      </c>
      <c r="AV29" s="113">
        <f t="shared" si="22"/>
        <v>-0.31182453532217436</v>
      </c>
      <c r="AW29" s="113">
        <f t="shared" si="22"/>
        <v>-0.35672186158612545</v>
      </c>
      <c r="AX29" s="113">
        <f t="shared" si="22"/>
        <v>-0.40160267823350276</v>
      </c>
      <c r="AY29" s="113">
        <f t="shared" si="22"/>
        <v>-0.44646695928376134</v>
      </c>
      <c r="AZ29" s="113">
        <f t="shared" si="22"/>
        <v>-0.49131466889414688</v>
      </c>
      <c r="BA29" s="113">
        <f t="shared" si="24"/>
        <v>-0.5361457612530599</v>
      </c>
      <c r="BB29" s="113">
        <f t="shared" si="24"/>
        <v>-0.5809601804430149</v>
      </c>
      <c r="BC29" s="113">
        <f t="shared" si="24"/>
        <v>-0.62575786027223168</v>
      </c>
      <c r="BD29" s="113">
        <f t="shared" si="24"/>
        <v>-0.67053872407366366</v>
      </c>
      <c r="BE29" s="113">
        <f t="shared" si="24"/>
        <v>-0.71530268447002232</v>
      </c>
      <c r="BF29" s="113">
        <f t="shared" si="24"/>
        <v>-0.7600496431030892</v>
      </c>
      <c r="BG29" s="113">
        <f t="shared" si="24"/>
        <v>-0.80477949032532126</v>
      </c>
      <c r="BH29" s="113">
        <f t="shared" si="24"/>
        <v>-0.84949210485143545</v>
      </c>
      <c r="BI29" s="113">
        <f t="shared" si="24"/>
        <v>-0.89418735336731447</v>
      </c>
    </row>
    <row r="30" spans="1:61">
      <c r="A30" s="113">
        <f t="shared" si="21"/>
        <v>1.9824999999999995</v>
      </c>
      <c r="B30" s="110">
        <f t="shared" si="4"/>
        <v>0.54150219625626361</v>
      </c>
      <c r="C30" s="159">
        <f t="shared" si="5"/>
        <v>0.79367000495759055</v>
      </c>
      <c r="D30" s="113">
        <f t="shared" si="5"/>
        <v>2.305370643947854E-3</v>
      </c>
      <c r="E30" s="113">
        <f t="shared" si="5"/>
        <v>5.1986051701784707E-4</v>
      </c>
      <c r="F30" s="113">
        <f t="shared" si="5"/>
        <v>2.1353798280049469E-3</v>
      </c>
      <c r="G30" s="113">
        <f t="shared" si="5"/>
        <v>6.1040026063911824E-4</v>
      </c>
      <c r="H30" s="113">
        <f t="shared" si="5"/>
        <v>3.0270783285819944E-4</v>
      </c>
      <c r="I30" s="113"/>
      <c r="J30" s="113"/>
      <c r="K30" s="113">
        <f t="shared" si="6"/>
        <v>0.81383752714786928</v>
      </c>
      <c r="L30" s="107">
        <f t="shared" si="7"/>
        <v>0.79954372404005847</v>
      </c>
      <c r="M30" s="111">
        <f t="shared" si="8"/>
        <v>0.88225402429466904</v>
      </c>
      <c r="N30" s="113">
        <f t="shared" si="9"/>
        <v>1.4293803107810784E-2</v>
      </c>
      <c r="O30" s="114">
        <f t="shared" si="10"/>
        <v>3.1693242406958828</v>
      </c>
      <c r="P30" s="111">
        <f t="shared" si="11"/>
        <v>3.4993121343390663</v>
      </c>
      <c r="Q30" s="111">
        <v>1.5252300000000008</v>
      </c>
      <c r="R30" s="107">
        <f t="shared" si="12"/>
        <v>1.5694649604433117</v>
      </c>
      <c r="S30" s="115">
        <v>0.90058636363636357</v>
      </c>
      <c r="T30" s="107">
        <f t="shared" si="20"/>
        <v>5.65</v>
      </c>
      <c r="U30" s="111">
        <f t="shared" si="13"/>
        <v>3.700931674118797</v>
      </c>
      <c r="V30" s="111">
        <f t="shared" si="14"/>
        <v>3.6009316741187969</v>
      </c>
      <c r="W30" s="111">
        <f t="shared" si="15"/>
        <v>3.4993121343390663</v>
      </c>
      <c r="X30" s="111">
        <f t="shared" si="16"/>
        <v>6.3135638137125714</v>
      </c>
      <c r="Y30" s="115">
        <v>1.5690000000000002</v>
      </c>
      <c r="Z30" s="115">
        <v>0.52343368367336929</v>
      </c>
      <c r="AA30" s="113">
        <f t="shared" si="23"/>
        <v>2.3701237568367964E-3</v>
      </c>
      <c r="AB30" s="113">
        <f t="shared" si="23"/>
        <v>-4.2642577668685226E-2</v>
      </c>
      <c r="AC30" s="113">
        <f t="shared" si="23"/>
        <v>-8.7638488522503263E-2</v>
      </c>
      <c r="AD30" s="113">
        <f t="shared" si="23"/>
        <v>4.7399669367496781E-2</v>
      </c>
      <c r="AE30" s="113">
        <f t="shared" si="23"/>
        <v>9.2446123346040521E-2</v>
      </c>
      <c r="AF30" s="113">
        <f t="shared" si="23"/>
        <v>0.13750956064333411</v>
      </c>
      <c r="AG30" s="113">
        <f t="shared" si="23"/>
        <v>0.18259006721264359</v>
      </c>
      <c r="AH30" s="113">
        <f t="shared" si="23"/>
        <v>0.22768774028111999</v>
      </c>
      <c r="AI30" s="113">
        <f t="shared" si="23"/>
        <v>0.27280268866052809</v>
      </c>
      <c r="AJ30" s="113">
        <f t="shared" si="23"/>
        <v>0.31793503309959048</v>
      </c>
      <c r="AK30" s="113">
        <f t="shared" si="23"/>
        <v>0.36308490668068255</v>
      </c>
      <c r="AL30" s="113">
        <f t="shared" si="23"/>
        <v>0.4082524552640216</v>
      </c>
      <c r="AM30" s="113">
        <f t="shared" si="23"/>
        <v>0.45343783798294024</v>
      </c>
      <c r="AN30" s="113">
        <f t="shared" si="23"/>
        <v>0.49864122779434467</v>
      </c>
      <c r="AO30" s="113">
        <f t="shared" si="23"/>
        <v>0.54386281208902243</v>
      </c>
      <c r="AP30" s="113">
        <f t="shared" si="23"/>
        <v>0.58910279336710947</v>
      </c>
      <c r="AQ30" s="113">
        <f t="shared" si="22"/>
        <v>0.63436138998475611</v>
      </c>
      <c r="AR30" s="113">
        <f t="shared" si="22"/>
        <v>-0.13261765201353048</v>
      </c>
      <c r="AS30" s="113">
        <f t="shared" si="22"/>
        <v>-0.17758010107812439</v>
      </c>
      <c r="AT30" s="113">
        <f t="shared" si="22"/>
        <v>-0.22252585848017234</v>
      </c>
      <c r="AU30" s="113">
        <f t="shared" si="22"/>
        <v>-0.26745493688000993</v>
      </c>
      <c r="AV30" s="113">
        <f t="shared" si="22"/>
        <v>-0.31236733887266027</v>
      </c>
      <c r="AW30" s="113">
        <f t="shared" si="22"/>
        <v>-0.35726305699566374</v>
      </c>
      <c r="AX30" s="113">
        <f t="shared" si="22"/>
        <v>-0.40214207370655425</v>
      </c>
      <c r="AY30" s="113">
        <f t="shared" si="22"/>
        <v>-0.44700436132982246</v>
      </c>
      <c r="AZ30" s="113">
        <f t="shared" si="22"/>
        <v>-0.49184988197299129</v>
      </c>
      <c r="BA30" s="113">
        <f t="shared" si="24"/>
        <v>-0.53667858741120744</v>
      </c>
      <c r="BB30" s="113">
        <f t="shared" si="24"/>
        <v>-0.58149041893952647</v>
      </c>
      <c r="BC30" s="113">
        <f t="shared" si="24"/>
        <v>-0.62628530719182651</v>
      </c>
      <c r="BD30" s="113">
        <f t="shared" si="24"/>
        <v>-0.67106317192503373</v>
      </c>
      <c r="BE30" s="113">
        <f t="shared" si="24"/>
        <v>-0.7158239217670761</v>
      </c>
      <c r="BF30" s="113">
        <f t="shared" si="24"/>
        <v>-0.76056745392668323</v>
      </c>
      <c r="BG30" s="113">
        <f t="shared" si="24"/>
        <v>-0.80529365386283891</v>
      </c>
      <c r="BH30" s="113">
        <f t="shared" si="24"/>
        <v>-0.85000239491134377</v>
      </c>
      <c r="BI30" s="113">
        <f t="shared" si="24"/>
        <v>-0.89469353786555716</v>
      </c>
    </row>
    <row r="31" spans="1:61">
      <c r="A31" s="113">
        <f t="shared" si="21"/>
        <v>2.0049999999999994</v>
      </c>
      <c r="B31" s="110">
        <f t="shared" si="4"/>
        <v>0.54764787061478371</v>
      </c>
      <c r="C31" s="159">
        <f t="shared" si="5"/>
        <v>0.79659443916140449</v>
      </c>
      <c r="D31" s="113">
        <f t="shared" si="5"/>
        <v>1.3264624179909214E-3</v>
      </c>
      <c r="E31" s="113">
        <f t="shared" si="5"/>
        <v>2.9853921049383889E-4</v>
      </c>
      <c r="F31" s="113">
        <f t="shared" si="5"/>
        <v>1.3407351664892703E-3</v>
      </c>
      <c r="G31" s="113">
        <f t="shared" si="5"/>
        <v>3.8792794039539013E-4</v>
      </c>
      <c r="H31" s="113">
        <f t="shared" si="5"/>
        <v>1.9641180795511038E-4</v>
      </c>
      <c r="I31" s="113"/>
      <c r="J31" s="113"/>
      <c r="K31" s="113">
        <f t="shared" si="6"/>
        <v>0.81473245462977684</v>
      </c>
      <c r="L31" s="107">
        <f t="shared" si="7"/>
        <v>0.80014451570472911</v>
      </c>
      <c r="M31" s="111">
        <f t="shared" si="8"/>
        <v>0.88226336237992964</v>
      </c>
      <c r="N31" s="113">
        <f t="shared" si="9"/>
        <v>1.4587938925047733E-2</v>
      </c>
      <c r="O31" s="114">
        <f t="shared" si="10"/>
        <v>3.1337582579449315</v>
      </c>
      <c r="P31" s="111">
        <f t="shared" si="11"/>
        <v>3.4994943338528692</v>
      </c>
      <c r="Q31" s="111">
        <v>1.524280000000001</v>
      </c>
      <c r="R31" s="107">
        <f t="shared" si="12"/>
        <v>1.5694105690746583</v>
      </c>
      <c r="S31" s="115">
        <v>0.90058636363636357</v>
      </c>
      <c r="T31" s="107">
        <f t="shared" si="20"/>
        <v>5.65</v>
      </c>
      <c r="U31" s="111">
        <f t="shared" si="13"/>
        <v>3.7032414778603755</v>
      </c>
      <c r="V31" s="111">
        <f t="shared" si="14"/>
        <v>3.6032414778603754</v>
      </c>
      <c r="W31" s="111">
        <f t="shared" si="15"/>
        <v>3.4994943338528692</v>
      </c>
      <c r="X31" s="111">
        <f t="shared" si="16"/>
        <v>6.3229333820387499</v>
      </c>
      <c r="Y31" s="115">
        <v>1.5680000000000003</v>
      </c>
      <c r="Z31" s="115">
        <v>0.4593192019702228</v>
      </c>
      <c r="AA31" s="113">
        <f t="shared" si="23"/>
        <v>1.8338340560603017E-3</v>
      </c>
      <c r="AB31" s="113">
        <f t="shared" si="23"/>
        <v>-4.3178583130357238E-2</v>
      </c>
      <c r="AC31" s="113">
        <f t="shared" si="23"/>
        <v>-8.8174020266076125E-2</v>
      </c>
      <c r="AD31" s="113">
        <f t="shared" si="23"/>
        <v>4.6863285949719148E-2</v>
      </c>
      <c r="AE31" s="113">
        <f t="shared" si="23"/>
        <v>9.1909838138462624E-2</v>
      </c>
      <c r="AF31" s="113">
        <f t="shared" si="23"/>
        <v>0.136973567349229</v>
      </c>
      <c r="AG31" s="113">
        <f t="shared" si="23"/>
        <v>0.18205456169337758</v>
      </c>
      <c r="AH31" s="113">
        <f t="shared" si="23"/>
        <v>0.22715292095140499</v>
      </c>
      <c r="AI31" s="113">
        <f t="shared" si="23"/>
        <v>0.27226875689923824</v>
      </c>
      <c r="AJ31" s="113">
        <f t="shared" si="23"/>
        <v>0.31740219367865324</v>
      </c>
      <c r="AK31" s="113">
        <f t="shared" si="23"/>
        <v>0.36255336821476336</v>
      </c>
      <c r="AL31" s="113">
        <f t="shared" si="23"/>
        <v>0.40772243068396385</v>
      </c>
      <c r="AM31" s="113">
        <f t="shared" si="23"/>
        <v>0.45290954503620834</v>
      </c>
      <c r="AN31" s="113">
        <f t="shared" si="23"/>
        <v>0.49811488957604549</v>
      </c>
      <c r="AO31" s="113">
        <f t="shared" si="23"/>
        <v>0.54333865760746569</v>
      </c>
      <c r="AP31" s="113">
        <f t="shared" si="23"/>
        <v>0.58858105814831019</v>
      </c>
      <c r="AQ31" s="113">
        <f t="shared" si="22"/>
        <v>0.63384231672079583</v>
      </c>
      <c r="AR31" s="113">
        <f t="shared" si="22"/>
        <v>-0.1331525212481543</v>
      </c>
      <c r="AS31" s="113">
        <f t="shared" si="22"/>
        <v>-0.17811411935127375</v>
      </c>
      <c r="AT31" s="113">
        <f t="shared" si="22"/>
        <v>-0.22305883733114695</v>
      </c>
      <c r="AU31" s="113">
        <f t="shared" si="22"/>
        <v>-0.26798668749497417</v>
      </c>
      <c r="AV31" s="113">
        <f t="shared" si="22"/>
        <v>-0.31289767173946181</v>
      </c>
      <c r="AW31" s="113">
        <f t="shared" si="22"/>
        <v>-0.3577917815566759</v>
      </c>
      <c r="AX31" s="113">
        <f t="shared" si="22"/>
        <v>-0.40266899800777323</v>
      </c>
      <c r="AY31" s="113">
        <f t="shared" si="22"/>
        <v>-0.44752929166442101</v>
      </c>
      <c r="AZ31" s="113">
        <f t="shared" si="22"/>
        <v>-0.49237262251748076</v>
      </c>
      <c r="BA31" s="113">
        <f t="shared" si="24"/>
        <v>-0.53719893985229272</v>
      </c>
      <c r="BB31" s="113">
        <f t="shared" si="24"/>
        <v>-0.58200818208965055</v>
      </c>
      <c r="BC31" s="113">
        <f t="shared" si="24"/>
        <v>-0.62680027659129234</v>
      </c>
      <c r="BD31" s="113">
        <f t="shared" si="24"/>
        <v>-0.67157513942846037</v>
      </c>
      <c r="BE31" s="113">
        <f t="shared" si="24"/>
        <v>-0.71633267511178556</v>
      </c>
      <c r="BF31" s="113">
        <f t="shared" si="24"/>
        <v>-0.76107277628043213</v>
      </c>
      <c r="BG31" s="113">
        <f t="shared" si="24"/>
        <v>-0.80579532334809023</v>
      </c>
      <c r="BH31" s="113">
        <f t="shared" si="24"/>
        <v>-0.85050018410302197</v>
      </c>
      <c r="BI31" s="113">
        <f t="shared" si="24"/>
        <v>-0.89518721325893835</v>
      </c>
    </row>
    <row r="32" spans="1:61">
      <c r="A32" s="113">
        <f t="shared" si="21"/>
        <v>2.0274999999999994</v>
      </c>
      <c r="B32" s="110">
        <f t="shared" si="4"/>
        <v>0.55379354497330369</v>
      </c>
      <c r="C32" s="159">
        <f t="shared" ref="C32:H53" si="25">$D$3*$S32/(AA32^2/$D$4^2)*2*(1-COS(AA32*$M$6))</f>
        <v>0.79873745446230504</v>
      </c>
      <c r="D32" s="113">
        <f t="shared" si="25"/>
        <v>6.4077459877333364E-4</v>
      </c>
      <c r="E32" s="113">
        <f t="shared" si="25"/>
        <v>1.4212244858190475E-4</v>
      </c>
      <c r="F32" s="113">
        <f t="shared" si="25"/>
        <v>7.2750283483353812E-4</v>
      </c>
      <c r="G32" s="113">
        <f t="shared" si="25"/>
        <v>2.1650777118986667E-4</v>
      </c>
      <c r="H32" s="113">
        <f t="shared" si="25"/>
        <v>1.1368022037082629E-4</v>
      </c>
      <c r="I32" s="113"/>
      <c r="J32" s="113"/>
      <c r="K32" s="113">
        <f t="shared" si="6"/>
        <v>0.81514922105026355</v>
      </c>
      <c r="L32" s="107">
        <f t="shared" si="7"/>
        <v>0.80057804233605456</v>
      </c>
      <c r="M32" s="111">
        <f t="shared" si="8"/>
        <v>0.8822723962222101</v>
      </c>
      <c r="N32" s="113">
        <f t="shared" si="9"/>
        <v>1.4571178714208953E-2</v>
      </c>
      <c r="O32" s="114">
        <f t="shared" si="10"/>
        <v>3.0989816558222381</v>
      </c>
      <c r="P32" s="111">
        <f t="shared" si="11"/>
        <v>3.4996118114119392</v>
      </c>
      <c r="Q32" s="111">
        <v>1.524280000000001</v>
      </c>
      <c r="R32" s="107">
        <f t="shared" si="12"/>
        <v>1.569357951467899</v>
      </c>
      <c r="S32" s="115">
        <v>0.90058636363636357</v>
      </c>
      <c r="T32" s="107">
        <f t="shared" si="20"/>
        <v>5.65</v>
      </c>
      <c r="U32" s="111">
        <f t="shared" si="13"/>
        <v>3.7032414778603755</v>
      </c>
      <c r="V32" s="111">
        <f t="shared" si="14"/>
        <v>3.6032414778603754</v>
      </c>
      <c r="W32" s="111">
        <f t="shared" si="15"/>
        <v>3.4996118114119392</v>
      </c>
      <c r="X32" s="111">
        <f t="shared" si="16"/>
        <v>6.3322073371700611</v>
      </c>
      <c r="Y32" s="115">
        <v>1.5680000000000003</v>
      </c>
      <c r="Z32" s="115">
        <v>0.4593192019702228</v>
      </c>
      <c r="AA32" s="113">
        <f t="shared" si="23"/>
        <v>1.30959074237047E-3</v>
      </c>
      <c r="AB32" s="113">
        <f t="shared" si="23"/>
        <v>-4.3702540249587946E-2</v>
      </c>
      <c r="AC32" s="113">
        <f t="shared" si="23"/>
        <v>-8.8697501736251141E-2</v>
      </c>
      <c r="AD32" s="113">
        <f t="shared" si="23"/>
        <v>4.6338946943694941E-2</v>
      </c>
      <c r="AE32" s="113">
        <f t="shared" si="23"/>
        <v>9.1385595359855964E-2</v>
      </c>
      <c r="AF32" s="113">
        <f t="shared" si="23"/>
        <v>0.13644961451479579</v>
      </c>
      <c r="AG32" s="113">
        <f t="shared" si="23"/>
        <v>0.18153109470768808</v>
      </c>
      <c r="AH32" s="113">
        <f t="shared" si="23"/>
        <v>0.22663013831137363</v>
      </c>
      <c r="AI32" s="113">
        <f t="shared" si="23"/>
        <v>0.27174686011481741</v>
      </c>
      <c r="AJ32" s="113">
        <f t="shared" si="23"/>
        <v>0.31688138771232305</v>
      </c>
      <c r="AK32" s="113">
        <f t="shared" si="23"/>
        <v>0.36203386194267129</v>
      </c>
      <c r="AL32" s="113">
        <f t="shared" si="23"/>
        <v>0.40720443738182849</v>
      </c>
      <c r="AM32" s="113">
        <f t="shared" si="23"/>
        <v>0.45239328289340425</v>
      </c>
      <c r="AN32" s="113">
        <f t="shared" si="23"/>
        <v>0.4976005822416395</v>
      </c>
      <c r="AO32" s="113">
        <f t="shared" si="23"/>
        <v>0.54282653477238485</v>
      </c>
      <c r="AP32" s="113">
        <f t="shared" si="23"/>
        <v>0.58807135616829664</v>
      </c>
      <c r="AQ32" s="113">
        <f t="shared" si="22"/>
        <v>0.63333527928536004</v>
      </c>
      <c r="AR32" s="113">
        <f t="shared" si="22"/>
        <v>-0.1336753382993347</v>
      </c>
      <c r="AS32" s="113">
        <f t="shared" si="22"/>
        <v>-0.17863608354056956</v>
      </c>
      <c r="AT32" s="113">
        <f t="shared" si="22"/>
        <v>-0.22357976018846643</v>
      </c>
      <c r="AU32" s="113">
        <f t="shared" si="22"/>
        <v>-0.26850638017026796</v>
      </c>
      <c r="AV32" s="113">
        <f t="shared" si="22"/>
        <v>-0.31341594464962236</v>
      </c>
      <c r="AW32" s="113">
        <f t="shared" si="22"/>
        <v>-0.35830844403025552</v>
      </c>
      <c r="AX32" s="113">
        <f t="shared" si="22"/>
        <v>-0.40318385792566941</v>
      </c>
      <c r="AY32" s="113">
        <f t="shared" si="22"/>
        <v>-0.4480421550946434</v>
      </c>
      <c r="AZ32" s="113">
        <f t="shared" si="22"/>
        <v>-0.49288329334206038</v>
      </c>
      <c r="BA32" s="113">
        <f t="shared" si="24"/>
        <v>-0.53770721938432109</v>
      </c>
      <c r="BB32" s="113">
        <f t="shared" si="24"/>
        <v>-0.58251386867833943</v>
      </c>
      <c r="BC32" s="113">
        <f t="shared" si="24"/>
        <v>-0.62730316521282936</v>
      </c>
      <c r="BD32" s="113">
        <f t="shared" si="24"/>
        <v>-0.67207502126028829</v>
      </c>
      <c r="BE32" s="113">
        <f t="shared" si="24"/>
        <v>-0.71682933708776542</v>
      </c>
      <c r="BF32" s="113">
        <f t="shared" si="24"/>
        <v>-0.76156600062414792</v>
      </c>
      <c r="BG32" s="113">
        <f t="shared" si="24"/>
        <v>-0.80628488708131596</v>
      </c>
      <c r="BH32" s="113">
        <f t="shared" si="24"/>
        <v>-0.85098585852609887</v>
      </c>
      <c r="BI32" s="113">
        <f t="shared" si="24"/>
        <v>-0.8956687633994922</v>
      </c>
    </row>
    <row r="33" spans="1:61">
      <c r="A33" s="113">
        <f t="shared" si="21"/>
        <v>2.0499999999999994</v>
      </c>
      <c r="B33" s="110">
        <f t="shared" si="4"/>
        <v>0.55993921933182367</v>
      </c>
      <c r="C33" s="159">
        <f t="shared" si="25"/>
        <v>0.80014420279763943</v>
      </c>
      <c r="D33" s="113">
        <f t="shared" si="25"/>
        <v>2.1536395821029276E-4</v>
      </c>
      <c r="E33" s="113">
        <f t="shared" si="25"/>
        <v>4.5283510174256512E-5</v>
      </c>
      <c r="F33" s="113">
        <f t="shared" si="25"/>
        <v>2.9907411951868063E-4</v>
      </c>
      <c r="G33" s="113">
        <f t="shared" si="25"/>
        <v>9.5420672862935404E-5</v>
      </c>
      <c r="H33" s="113">
        <f t="shared" si="25"/>
        <v>5.3950555933078947E-5</v>
      </c>
      <c r="I33" s="113"/>
      <c r="J33" s="113"/>
      <c r="K33" s="113">
        <f t="shared" si="6"/>
        <v>0.8154082543620953</v>
      </c>
      <c r="L33" s="107">
        <f t="shared" si="7"/>
        <v>0.80085329561433871</v>
      </c>
      <c r="M33" s="111">
        <f t="shared" si="8"/>
        <v>0.88228113884153847</v>
      </c>
      <c r="N33" s="113">
        <f t="shared" si="9"/>
        <v>1.4554958747756544E-2</v>
      </c>
      <c r="O33" s="114">
        <f t="shared" si="10"/>
        <v>3.0649684425266281</v>
      </c>
      <c r="P33" s="111">
        <f t="shared" si="11"/>
        <v>3.4997255059389372</v>
      </c>
      <c r="Q33" s="111">
        <v>1.524280000000001</v>
      </c>
      <c r="R33" s="107">
        <f t="shared" si="12"/>
        <v>1.5693070316279403</v>
      </c>
      <c r="S33" s="115">
        <v>0.90058636363636357</v>
      </c>
      <c r="T33" s="107">
        <f t="shared" si="20"/>
        <v>5.65</v>
      </c>
      <c r="U33" s="111">
        <f t="shared" si="13"/>
        <v>3.7032414778603755</v>
      </c>
      <c r="V33" s="111">
        <f t="shared" si="14"/>
        <v>3.6032414778603754</v>
      </c>
      <c r="W33" s="111">
        <f t="shared" si="15"/>
        <v>3.4997255059389372</v>
      </c>
      <c r="X33" s="111">
        <f t="shared" si="16"/>
        <v>6.3414814588806143</v>
      </c>
      <c r="Y33" s="115">
        <v>1.5680000000000003</v>
      </c>
      <c r="Z33" s="115">
        <v>0.4593192019702228</v>
      </c>
      <c r="AA33" s="113">
        <f t="shared" si="23"/>
        <v>7.9699382183189005E-4</v>
      </c>
      <c r="AB33" s="113">
        <f t="shared" si="23"/>
        <v>-4.4214850991325175E-2</v>
      </c>
      <c r="AC33" s="113">
        <f t="shared" si="23"/>
        <v>-8.9209336863129152E-2</v>
      </c>
      <c r="AD33" s="113">
        <f t="shared" si="23"/>
        <v>4.5826254333454962E-2</v>
      </c>
      <c r="AE33" s="113">
        <f t="shared" si="23"/>
        <v>9.0872998980375638E-2</v>
      </c>
      <c r="AF33" s="113">
        <f t="shared" si="23"/>
        <v>0.13593730810579668</v>
      </c>
      <c r="AG33" s="113">
        <f t="shared" si="23"/>
        <v>0.18101927422788561</v>
      </c>
      <c r="AH33" s="113">
        <f t="shared" si="23"/>
        <v>0.22611900235243609</v>
      </c>
      <c r="AI33" s="113">
        <f t="shared" si="23"/>
        <v>0.27123661033211011</v>
      </c>
      <c r="AJ33" s="113">
        <f t="shared" si="23"/>
        <v>0.31637222927519626</v>
      </c>
      <c r="AK33" s="113">
        <f t="shared" si="23"/>
        <v>0.36152600400728763</v>
      </c>
      <c r="AL33" s="113">
        <f t="shared" si="23"/>
        <v>0.40669809358980108</v>
      </c>
      <c r="AM33" s="113">
        <f t="shared" si="23"/>
        <v>0.45188867189984161</v>
      </c>
      <c r="AN33" s="113">
        <f t="shared" si="23"/>
        <v>0.49709792827657001</v>
      </c>
      <c r="AO33" s="113">
        <f t="shared" si="23"/>
        <v>0.54232606823997254</v>
      </c>
      <c r="AP33" s="113">
        <f t="shared" si="23"/>
        <v>0.5875733142887708</v>
      </c>
      <c r="AQ33" s="113">
        <f t="shared" si="22"/>
        <v>0.63283990678517299</v>
      </c>
      <c r="AR33" s="113">
        <f t="shared" si="22"/>
        <v>-0.13418650905745733</v>
      </c>
      <c r="AS33" s="113">
        <f t="shared" si="22"/>
        <v>-0.17914640149270705</v>
      </c>
      <c r="AT33" s="113">
        <f t="shared" si="22"/>
        <v>-0.22408903685195547</v>
      </c>
      <c r="AU33" s="113">
        <f t="shared" si="22"/>
        <v>-0.26901442665636177</v>
      </c>
      <c r="AV33" s="113">
        <f t="shared" si="22"/>
        <v>-0.31392257130236795</v>
      </c>
      <c r="AW33" s="113">
        <f t="shared" si="22"/>
        <v>-0.35881346006297743</v>
      </c>
      <c r="AX33" s="113">
        <f t="shared" si="22"/>
        <v>-0.40368707105312263</v>
      </c>
      <c r="AY33" s="113">
        <f t="shared" si="22"/>
        <v>-0.44854337115885978</v>
      </c>
      <c r="AZ33" s="113">
        <f t="shared" si="22"/>
        <v>-0.49338231592985426</v>
      </c>
      <c r="BA33" s="113">
        <f t="shared" si="24"/>
        <v>-0.53820384943434052</v>
      </c>
      <c r="BB33" s="113">
        <f t="shared" si="24"/>
        <v>-0.58300790407544445</v>
      </c>
      <c r="BC33" s="113">
        <f t="shared" si="24"/>
        <v>-0.62779440036745071</v>
      </c>
      <c r="BD33" s="113">
        <f t="shared" si="24"/>
        <v>-0.67256324667026557</v>
      </c>
      <c r="BE33" s="113">
        <f t="shared" si="24"/>
        <v>-0.71731433887997709</v>
      </c>
      <c r="BF33" s="113">
        <f t="shared" si="24"/>
        <v>-0.76204756007302688</v>
      </c>
      <c r="BG33" s="113">
        <f t="shared" si="24"/>
        <v>-0.80676278010108937</v>
      </c>
      <c r="BH33" s="113">
        <f t="shared" si="24"/>
        <v>-0.85145985513329225</v>
      </c>
      <c r="BI33" s="113">
        <f t="shared" si="24"/>
        <v>-0.89613862714189185</v>
      </c>
    </row>
    <row r="34" spans="1:61">
      <c r="A34" s="113">
        <f t="shared" si="21"/>
        <v>2.0724999999999993</v>
      </c>
      <c r="B34" s="110">
        <f t="shared" si="4"/>
        <v>0.56608489369034365</v>
      </c>
      <c r="C34" s="159">
        <f t="shared" si="25"/>
        <v>0.80085858821534728</v>
      </c>
      <c r="D34" s="113">
        <f t="shared" si="25"/>
        <v>2.0147336468606678E-5</v>
      </c>
      <c r="E34" s="113">
        <f t="shared" si="25"/>
        <v>2.8910394045146264E-6</v>
      </c>
      <c r="F34" s="113">
        <f t="shared" si="25"/>
        <v>5.7672437506236303E-5</v>
      </c>
      <c r="G34" s="113">
        <f t="shared" si="25"/>
        <v>2.3664709673691421E-5</v>
      </c>
      <c r="H34" s="113">
        <f t="shared" si="25"/>
        <v>1.6545210716136436E-5</v>
      </c>
      <c r="I34" s="113"/>
      <c r="J34" s="113"/>
      <c r="K34" s="113">
        <f t="shared" si="6"/>
        <v>0.81551876509711885</v>
      </c>
      <c r="L34" s="107">
        <f t="shared" si="7"/>
        <v>0.80097950894911651</v>
      </c>
      <c r="M34" s="111">
        <f t="shared" si="8"/>
        <v>0.88228960257180156</v>
      </c>
      <c r="N34" s="113">
        <f t="shared" si="9"/>
        <v>1.4539256148002307E-2</v>
      </c>
      <c r="O34" s="114">
        <f t="shared" si="10"/>
        <v>3.0316937549720571</v>
      </c>
      <c r="P34" s="111">
        <f t="shared" si="11"/>
        <v>3.4998355774390704</v>
      </c>
      <c r="Q34" s="111">
        <v>1.524280000000001</v>
      </c>
      <c r="R34" s="107">
        <f t="shared" si="12"/>
        <v>1.5692577375700434</v>
      </c>
      <c r="S34" s="115">
        <v>0.90058636363636357</v>
      </c>
      <c r="T34" s="107">
        <f t="shared" si="20"/>
        <v>5.65</v>
      </c>
      <c r="U34" s="111">
        <f t="shared" si="13"/>
        <v>3.7032414778603755</v>
      </c>
      <c r="V34" s="111">
        <f t="shared" si="14"/>
        <v>3.6032414778603754</v>
      </c>
      <c r="W34" s="111">
        <f t="shared" si="15"/>
        <v>3.4998355774390704</v>
      </c>
      <c r="X34" s="111">
        <f t="shared" si="16"/>
        <v>6.3507557474223884</v>
      </c>
      <c r="Y34" s="115">
        <v>1.5680000000000003</v>
      </c>
      <c r="Z34" s="115">
        <v>0.4593192019702228</v>
      </c>
      <c r="AA34" s="113">
        <f t="shared" si="23"/>
        <v>2.956582534522495E-4</v>
      </c>
      <c r="AB34" s="113">
        <f t="shared" si="23"/>
        <v>-4.4715900396503985E-2</v>
      </c>
      <c r="AC34" s="113">
        <f t="shared" si="23"/>
        <v>-8.9709910687400279E-2</v>
      </c>
      <c r="AD34" s="113">
        <f t="shared" si="23"/>
        <v>4.5324823078003028E-2</v>
      </c>
      <c r="AE34" s="113">
        <f t="shared" si="23"/>
        <v>9.0371663959029444E-2</v>
      </c>
      <c r="AF34" s="113">
        <f t="shared" si="23"/>
        <v>0.13543626308130077</v>
      </c>
      <c r="AG34" s="113">
        <f t="shared" si="23"/>
        <v>0.18051871521331181</v>
      </c>
      <c r="AH34" s="113">
        <f t="shared" si="23"/>
        <v>0.22561912803468948</v>
      </c>
      <c r="AI34" s="113">
        <f t="shared" si="23"/>
        <v>0.27073762251285827</v>
      </c>
      <c r="AJ34" s="113">
        <f t="shared" si="23"/>
        <v>0.31587433333211323</v>
      </c>
      <c r="AK34" s="113">
        <f t="shared" si="23"/>
        <v>0.361029409378753</v>
      </c>
      <c r="AL34" s="113">
        <f t="shared" si="23"/>
        <v>0.40620301428649136</v>
      </c>
      <c r="AM34" s="113">
        <f t="shared" si="23"/>
        <v>0.45139532704699553</v>
      </c>
      <c r="AN34" s="113">
        <f t="shared" si="23"/>
        <v>0.49660654269111193</v>
      </c>
      <c r="AO34" s="113">
        <f t="shared" si="23"/>
        <v>0.541836873047148</v>
      </c>
      <c r="AP34" s="113">
        <f t="shared" si="23"/>
        <v>0.58708654758349554</v>
      </c>
      <c r="AQ34" s="113">
        <f t="shared" si="22"/>
        <v>0.63235581434393429</v>
      </c>
      <c r="AR34" s="113">
        <f t="shared" si="22"/>
        <v>-0.13468641856256025</v>
      </c>
      <c r="AS34" s="113">
        <f t="shared" si="22"/>
        <v>-0.17964545824635975</v>
      </c>
      <c r="AT34" s="113">
        <f t="shared" si="22"/>
        <v>-0.22458705235781812</v>
      </c>
      <c r="AU34" s="113">
        <f t="shared" si="22"/>
        <v>-0.2695112119853999</v>
      </c>
      <c r="AV34" s="113">
        <f t="shared" si="22"/>
        <v>-0.31441793672360624</v>
      </c>
      <c r="AW34" s="113">
        <f t="shared" si="22"/>
        <v>-0.3593072146716374</v>
      </c>
      <c r="AX34" s="113">
        <f t="shared" si="22"/>
        <v>-0.40417902239411696</v>
      </c>
      <c r="AY34" s="113">
        <f t="shared" si="22"/>
        <v>-0.44903332484357433</v>
      </c>
      <c r="AZ34" s="113">
        <f t="shared" si="22"/>
        <v>-0.49387007524408566</v>
      </c>
      <c r="BA34" s="113">
        <f t="shared" si="24"/>
        <v>-0.53868921493516786</v>
      </c>
      <c r="BB34" s="113">
        <f t="shared" si="24"/>
        <v>-0.58349067317470449</v>
      </c>
      <c r="BC34" s="113">
        <f t="shared" si="24"/>
        <v>-0.62827436689934324</v>
      </c>
      <c r="BD34" s="113">
        <f t="shared" si="24"/>
        <v>-0.67304020044045021</v>
      </c>
      <c r="BE34" s="113">
        <f t="shared" si="24"/>
        <v>-0.7177880651933195</v>
      </c>
      <c r="BF34" s="113">
        <f t="shared" si="24"/>
        <v>-0.76251783923691663</v>
      </c>
      <c r="BG34" s="113">
        <f t="shared" si="24"/>
        <v>-0.8072293869009749</v>
      </c>
      <c r="BH34" s="113">
        <f t="shared" si="24"/>
        <v>-0.8519225582767519</v>
      </c>
      <c r="BI34" s="113">
        <f t="shared" si="24"/>
        <v>-0.89659718866718752</v>
      </c>
    </row>
    <row r="35" spans="1:61">
      <c r="A35" s="113">
        <f t="shared" si="21"/>
        <v>2.0949999999999993</v>
      </c>
      <c r="B35" s="110">
        <f t="shared" si="4"/>
        <v>0.57223056804886374</v>
      </c>
      <c r="C35" s="159">
        <f t="shared" si="25"/>
        <v>0.80092313265330073</v>
      </c>
      <c r="D35" s="113">
        <f t="shared" si="25"/>
        <v>2.7704594057976132E-5</v>
      </c>
      <c r="E35" s="113">
        <f t="shared" si="25"/>
        <v>1.0031730464851974E-5</v>
      </c>
      <c r="F35" s="113">
        <f t="shared" si="25"/>
        <v>4.4678430077422275E-6</v>
      </c>
      <c r="G35" s="113">
        <f t="shared" si="25"/>
        <v>7.5467329126271797E-11</v>
      </c>
      <c r="H35" s="113">
        <f t="shared" si="25"/>
        <v>6.9370299148115703E-7</v>
      </c>
      <c r="I35" s="113"/>
      <c r="J35" s="113"/>
      <c r="K35" s="113">
        <f t="shared" si="6"/>
        <v>0.81549007982978894</v>
      </c>
      <c r="L35" s="107">
        <f t="shared" si="7"/>
        <v>0.80096603059929017</v>
      </c>
      <c r="M35" s="111">
        <f t="shared" si="8"/>
        <v>0.88229779910349004</v>
      </c>
      <c r="N35" s="113">
        <f t="shared" si="9"/>
        <v>1.4524049230498801E-2</v>
      </c>
      <c r="O35" s="114">
        <f t="shared" si="10"/>
        <v>2.9991337981764143</v>
      </c>
      <c r="P35" s="111">
        <f t="shared" si="11"/>
        <v>3.4999421775842015</v>
      </c>
      <c r="Q35" s="111">
        <v>1.524280000000001</v>
      </c>
      <c r="R35" s="107">
        <f t="shared" si="12"/>
        <v>1.5692100010695915</v>
      </c>
      <c r="S35" s="115">
        <v>0.90058636363636357</v>
      </c>
      <c r="T35" s="107">
        <f t="shared" si="20"/>
        <v>5.65</v>
      </c>
      <c r="U35" s="111">
        <f t="shared" si="13"/>
        <v>3.7032414778603755</v>
      </c>
      <c r="V35" s="111">
        <f t="shared" si="14"/>
        <v>3.6032414778603754</v>
      </c>
      <c r="W35" s="111">
        <f t="shared" si="15"/>
        <v>3.4999421775842015</v>
      </c>
      <c r="X35" s="111">
        <f t="shared" si="16"/>
        <v>6.3600302030473888</v>
      </c>
      <c r="Y35" s="115">
        <v>1.5680000000000003</v>
      </c>
      <c r="Z35" s="115">
        <v>0.4593192019702228</v>
      </c>
      <c r="AA35" s="113">
        <f t="shared" si="23"/>
        <v>-1.9478416677098237E-4</v>
      </c>
      <c r="AB35" s="113">
        <f t="shared" si="23"/>
        <v>-4.5206056669069662E-2</v>
      </c>
      <c r="AC35" s="113">
        <f t="shared" si="23"/>
        <v>-9.0199591412765082E-2</v>
      </c>
      <c r="AD35" s="113">
        <f t="shared" si="23"/>
        <v>4.4834284973332722E-2</v>
      </c>
      <c r="AE35" s="113">
        <f t="shared" si="23"/>
        <v>8.9881222091814997E-2</v>
      </c>
      <c r="AF35" s="113">
        <f t="shared" si="23"/>
        <v>0.13494611123736697</v>
      </c>
      <c r="AG35" s="113">
        <f t="shared" si="23"/>
        <v>0.18002904946029838</v>
      </c>
      <c r="AH35" s="113">
        <f t="shared" si="23"/>
        <v>0.22513014715522173</v>
      </c>
      <c r="AI35" s="113">
        <f t="shared" si="23"/>
        <v>0.27024952845579786</v>
      </c>
      <c r="AJ35" s="113">
        <f t="shared" si="23"/>
        <v>0.31538733168491523</v>
      </c>
      <c r="AK35" s="113">
        <f t="shared" si="23"/>
        <v>0.36054370986422396</v>
      </c>
      <c r="AL35" s="113">
        <f t="shared" si="23"/>
        <v>0.4057188312875552</v>
      </c>
      <c r="AM35" s="113">
        <f t="shared" si="23"/>
        <v>0.45091288016344239</v>
      </c>
      <c r="AN35" s="113">
        <f t="shared" si="23"/>
        <v>0.49612605733273635</v>
      </c>
      <c r="AO35" s="113">
        <f t="shared" si="23"/>
        <v>0.54135858106818324</v>
      </c>
      <c r="AP35" s="113">
        <f t="shared" si="23"/>
        <v>0.58661068796383764</v>
      </c>
      <c r="AQ35" s="113">
        <f t="shared" si="22"/>
        <v>0.63188263392333333</v>
      </c>
      <c r="AR35" s="113">
        <f t="shared" si="22"/>
        <v>-0.13517543501769186</v>
      </c>
      <c r="AS35" s="113">
        <f t="shared" si="22"/>
        <v>-0.18013362200321198</v>
      </c>
      <c r="AT35" s="113">
        <f t="shared" si="22"/>
        <v>-0.2250741749052699</v>
      </c>
      <c r="AU35" s="113">
        <f t="shared" si="22"/>
        <v>-0.26999710435253804</v>
      </c>
      <c r="AV35" s="113">
        <f t="shared" si="22"/>
        <v>-0.31490240910225464</v>
      </c>
      <c r="AW35" s="113">
        <f t="shared" si="22"/>
        <v>-0.35979007603603547</v>
      </c>
      <c r="AX35" s="113">
        <f t="shared" si="22"/>
        <v>-0.40466008011562787</v>
      </c>
      <c r="AY35" s="113">
        <f t="shared" si="22"/>
        <v>-0.44951238429825713</v>
      </c>
      <c r="AZ35" s="113">
        <f t="shared" si="22"/>
        <v>-0.49434693941089614</v>
      </c>
      <c r="BA35" s="113">
        <f t="shared" si="24"/>
        <v>-0.53916368398245806</v>
      </c>
      <c r="BB35" s="113">
        <f t="shared" si="24"/>
        <v>-0.58396254403256798</v>
      </c>
      <c r="BC35" s="113">
        <f t="shared" si="24"/>
        <v>-0.62874343281520439</v>
      </c>
      <c r="BD35" s="113">
        <f t="shared" si="24"/>
        <v>-0.6735062505151117</v>
      </c>
      <c r="BE35" s="113">
        <f t="shared" si="24"/>
        <v>-0.7182508838944659</v>
      </c>
      <c r="BF35" s="113">
        <f t="shared" si="24"/>
        <v>-0.76297720588681484</v>
      </c>
      <c r="BG35" s="113">
        <f t="shared" si="24"/>
        <v>-0.80768507513481069</v>
      </c>
      <c r="BH35" s="113">
        <f t="shared" si="24"/>
        <v>-0.85237433546769215</v>
      </c>
      <c r="BI35" s="113">
        <f t="shared" si="24"/>
        <v>-0.8970448153138475</v>
      </c>
    </row>
    <row r="36" spans="1:61">
      <c r="A36" s="113">
        <f t="shared" si="21"/>
        <v>2.1174999999999993</v>
      </c>
      <c r="B36" s="110">
        <f t="shared" si="4"/>
        <v>0.57837624240738372</v>
      </c>
      <c r="C36" s="159">
        <f t="shared" si="25"/>
        <v>0.80037888845981531</v>
      </c>
      <c r="D36" s="113">
        <f t="shared" si="25"/>
        <v>2.1308679779307292E-4</v>
      </c>
      <c r="E36" s="113">
        <f t="shared" si="25"/>
        <v>6.2026452897555564E-5</v>
      </c>
      <c r="F36" s="113">
        <f t="shared" si="25"/>
        <v>1.3967910722153344E-4</v>
      </c>
      <c r="G36" s="113">
        <f t="shared" si="25"/>
        <v>2.2987420981037934E-5</v>
      </c>
      <c r="H36" s="113">
        <f t="shared" si="25"/>
        <v>5.5509413152330676E-6</v>
      </c>
      <c r="I36" s="113"/>
      <c r="J36" s="113"/>
      <c r="K36" s="113">
        <f t="shared" si="6"/>
        <v>0.81533153661047642</v>
      </c>
      <c r="L36" s="107">
        <f t="shared" si="7"/>
        <v>0.80082221918002383</v>
      </c>
      <c r="M36" s="111">
        <f t="shared" si="8"/>
        <v>0.88230573952338243</v>
      </c>
      <c r="N36" s="113">
        <f t="shared" si="9"/>
        <v>1.4509317430452555E-2</v>
      </c>
      <c r="O36" s="114">
        <f t="shared" si="10"/>
        <v>2.9672657885145637</v>
      </c>
      <c r="P36" s="111">
        <f t="shared" si="11"/>
        <v>3.500045450225894</v>
      </c>
      <c r="Q36" s="111">
        <v>1.524280000000001</v>
      </c>
      <c r="R36" s="107">
        <f t="shared" si="12"/>
        <v>1.5691637574298019</v>
      </c>
      <c r="S36" s="115">
        <v>0.90058636363636357</v>
      </c>
      <c r="T36" s="107">
        <f t="shared" si="20"/>
        <v>5.65</v>
      </c>
      <c r="U36" s="111">
        <f t="shared" si="13"/>
        <v>3.7032414778603755</v>
      </c>
      <c r="V36" s="111">
        <f t="shared" si="14"/>
        <v>3.6032414778603754</v>
      </c>
      <c r="W36" s="111">
        <f t="shared" si="15"/>
        <v>3.500045450225894</v>
      </c>
      <c r="X36" s="111">
        <f t="shared" si="16"/>
        <v>6.3693048260076672</v>
      </c>
      <c r="Y36" s="115">
        <v>1.5680000000000003</v>
      </c>
      <c r="Z36" s="115">
        <v>0.4593192019702228</v>
      </c>
      <c r="AA36" s="113">
        <f t="shared" si="23"/>
        <v>-6.7468571846019537E-4</v>
      </c>
      <c r="AB36" s="113">
        <f t="shared" si="23"/>
        <v>-4.568567208858737E-2</v>
      </c>
      <c r="AC36" s="113">
        <f t="shared" si="23"/>
        <v>-9.0678731318543968E-2</v>
      </c>
      <c r="AD36" s="113">
        <f t="shared" si="23"/>
        <v>4.4354287739817796E-2</v>
      </c>
      <c r="AE36" s="113">
        <f t="shared" si="23"/>
        <v>8.9401321099110032E-2</v>
      </c>
      <c r="AF36" s="113">
        <f t="shared" si="23"/>
        <v>0.13446650029443441</v>
      </c>
      <c r="AG36" s="113">
        <f t="shared" si="23"/>
        <v>0.17954992468955741</v>
      </c>
      <c r="AH36" s="113">
        <f t="shared" si="23"/>
        <v>0.22465170743550228</v>
      </c>
      <c r="AI36" s="113">
        <f t="shared" si="23"/>
        <v>0.26977197588404872</v>
      </c>
      <c r="AJ36" s="113">
        <f t="shared" si="23"/>
        <v>0.31491087205983459</v>
      </c>
      <c r="AK36" s="113">
        <f t="shared" si="23"/>
        <v>0.36006855319526382</v>
      </c>
      <c r="AL36" s="113">
        <f t="shared" si="23"/>
        <v>0.40524519233308537</v>
      </c>
      <c r="AM36" s="113">
        <f t="shared" si="23"/>
        <v>0.45044097900225094</v>
      </c>
      <c r="AN36" s="113">
        <f t="shared" si="23"/>
        <v>0.49565611997350295</v>
      </c>
      <c r="AO36" s="113">
        <f t="shared" si="23"/>
        <v>0.54089084010209787</v>
      </c>
      <c r="AP36" s="113">
        <f t="shared" si="23"/>
        <v>0.58614538326616428</v>
      </c>
      <c r="AQ36" s="113">
        <f t="shared" si="22"/>
        <v>0.63142001341045195</v>
      </c>
      <c r="AR36" s="113">
        <f t="shared" si="22"/>
        <v>-0.13565391070152091</v>
      </c>
      <c r="AS36" s="113">
        <f t="shared" si="22"/>
        <v>-0.18061124504056883</v>
      </c>
      <c r="AT36" s="113">
        <f t="shared" si="22"/>
        <v>-0.22555075676914735</v>
      </c>
      <c r="AU36" s="113">
        <f t="shared" si="22"/>
        <v>-0.27047245602855297</v>
      </c>
      <c r="AV36" s="113">
        <f t="shared" si="22"/>
        <v>-0.31537634070284981</v>
      </c>
      <c r="AW36" s="113">
        <f t="shared" si="22"/>
        <v>-0.36026239641158514</v>
      </c>
      <c r="AX36" s="113">
        <f t="shared" si="22"/>
        <v>-0.40513059646023086</v>
      </c>
      <c r="AY36" s="113">
        <f t="shared" si="22"/>
        <v>-0.4499809017479513</v>
      </c>
      <c r="AZ36" s="113">
        <f t="shared" si="22"/>
        <v>-0.49481326063195263</v>
      </c>
      <c r="BA36" s="113">
        <f t="shared" si="24"/>
        <v>-0.53962760874730964</v>
      </c>
      <c r="BB36" s="113">
        <f t="shared" si="24"/>
        <v>-0.58442386878079522</v>
      </c>
      <c r="BC36" s="113">
        <f t="shared" si="24"/>
        <v>-0.629201950196839</v>
      </c>
      <c r="BD36" s="113">
        <f t="shared" si="24"/>
        <v>-0.67396174891332072</v>
      </c>
      <c r="BE36" s="113">
        <f t="shared" si="24"/>
        <v>-0.71870314692444393</v>
      </c>
      <c r="BF36" s="113">
        <f t="shared" si="24"/>
        <v>-0.7634260118674342</v>
      </c>
      <c r="BG36" s="113">
        <f t="shared" si="24"/>
        <v>-0.80813019652925355</v>
      </c>
      <c r="BH36" s="113">
        <f t="shared" si="24"/>
        <v>-0.85281553828890788</v>
      </c>
      <c r="BI36" s="113">
        <f t="shared" si="24"/>
        <v>-0.89748185849023399</v>
      </c>
    </row>
    <row r="37" spans="1:61">
      <c r="A37" s="113">
        <f t="shared" si="21"/>
        <v>2.1399999999999992</v>
      </c>
      <c r="B37" s="110">
        <f t="shared" si="4"/>
        <v>0.5845219167659037</v>
      </c>
      <c r="C37" s="159">
        <f t="shared" si="25"/>
        <v>0.79926537601785497</v>
      </c>
      <c r="D37" s="113">
        <f t="shared" si="25"/>
        <v>5.5363262445055981E-4</v>
      </c>
      <c r="E37" s="113">
        <f t="shared" si="25"/>
        <v>1.544405081443208E-4</v>
      </c>
      <c r="F37" s="113">
        <f t="shared" si="25"/>
        <v>4.6267075142753981E-4</v>
      </c>
      <c r="G37" s="113">
        <f t="shared" si="25"/>
        <v>9.1022732859683011E-5</v>
      </c>
      <c r="H37" s="113">
        <f t="shared" si="25"/>
        <v>3.0213571595356239E-5</v>
      </c>
      <c r="I37" s="113"/>
      <c r="J37" s="113"/>
      <c r="K37" s="113">
        <f t="shared" si="6"/>
        <v>0.81505239744068636</v>
      </c>
      <c r="L37" s="107">
        <f t="shared" si="7"/>
        <v>0.80055735620633239</v>
      </c>
      <c r="M37" s="111">
        <f t="shared" si="8"/>
        <v>0.88231343435141674</v>
      </c>
      <c r="N37" s="113">
        <f t="shared" si="9"/>
        <v>1.4495041234354019E-2</v>
      </c>
      <c r="O37" s="114">
        <f t="shared" si="10"/>
        <v>2.9360679005512096</v>
      </c>
      <c r="P37" s="111">
        <f t="shared" si="11"/>
        <v>3.5001455318721582</v>
      </c>
      <c r="Q37" s="111">
        <v>1.524280000000001</v>
      </c>
      <c r="R37" s="107">
        <f t="shared" si="12"/>
        <v>1.569118945265938</v>
      </c>
      <c r="S37" s="115">
        <v>0.90058636363636357</v>
      </c>
      <c r="T37" s="107">
        <f t="shared" si="20"/>
        <v>5.65</v>
      </c>
      <c r="U37" s="111">
        <f t="shared" si="13"/>
        <v>3.7032414778603755</v>
      </c>
      <c r="V37" s="111">
        <f t="shared" si="14"/>
        <v>3.6032414778603754</v>
      </c>
      <c r="W37" s="111">
        <f t="shared" si="15"/>
        <v>3.5001455318721582</v>
      </c>
      <c r="X37" s="111">
        <f t="shared" si="16"/>
        <v>6.3785796165553217</v>
      </c>
      <c r="Y37" s="115">
        <v>1.5680000000000003</v>
      </c>
      <c r="Z37" s="115">
        <v>0.4593192019702228</v>
      </c>
      <c r="AA37" s="113">
        <f t="shared" si="23"/>
        <v>-1.1443836106247024E-3</v>
      </c>
      <c r="AB37" s="113">
        <f t="shared" si="23"/>
        <v>-4.6155083864009183E-2</v>
      </c>
      <c r="AC37" s="113">
        <f t="shared" si="23"/>
        <v>-9.1147667613444422E-2</v>
      </c>
      <c r="AD37" s="113">
        <f t="shared" si="23"/>
        <v>4.3884494168445039E-2</v>
      </c>
      <c r="AE37" s="113">
        <f t="shared" si="23"/>
        <v>8.8931623771905374E-2</v>
      </c>
      <c r="AF37" s="113">
        <f t="shared" si="23"/>
        <v>0.13399709304355534</v>
      </c>
      <c r="AG37" s="113">
        <f t="shared" si="23"/>
        <v>0.17908100369241434</v>
      </c>
      <c r="AH37" s="113">
        <f t="shared" si="23"/>
        <v>0.22418347166761482</v>
      </c>
      <c r="AI37" s="113">
        <f t="shared" si="23"/>
        <v>0.2693046275913481</v>
      </c>
      <c r="AJ37" s="113">
        <f t="shared" si="23"/>
        <v>0.31444461725372808</v>
      </c>
      <c r="AK37" s="113">
        <f t="shared" si="23"/>
        <v>0.35960360217407566</v>
      </c>
      <c r="AL37" s="113">
        <f t="shared" si="23"/>
        <v>0.40478176023384504</v>
      </c>
      <c r="AM37" s="113">
        <f t="shared" si="23"/>
        <v>0.4499792863872164</v>
      </c>
      <c r="AN37" s="113">
        <f t="shared" si="23"/>
        <v>0.49519639345629496</v>
      </c>
      <c r="AO37" s="113">
        <f t="shared" si="23"/>
        <v>0.54043331301889574</v>
      </c>
      <c r="AP37" s="113">
        <f t="shared" si="23"/>
        <v>0.58569029639808379</v>
      </c>
      <c r="AQ37" s="113">
        <f t="shared" si="22"/>
        <v>0.63096761576401073</v>
      </c>
      <c r="AR37" s="113">
        <f t="shared" si="22"/>
        <v>-0.13612218282210337</v>
      </c>
      <c r="AS37" s="113">
        <f t="shared" si="22"/>
        <v>-0.18107866456512298</v>
      </c>
      <c r="AT37" s="113">
        <f t="shared" si="22"/>
        <v>-0.22601713515367516</v>
      </c>
      <c r="AU37" s="113">
        <f t="shared" si="22"/>
        <v>-0.27093760421360918</v>
      </c>
      <c r="AV37" s="113">
        <f t="shared" si="22"/>
        <v>-0.31584006871931425</v>
      </c>
      <c r="AW37" s="113">
        <f t="shared" si="22"/>
        <v>-0.36072451298307984</v>
      </c>
      <c r="AX37" s="113">
        <f t="shared" si="22"/>
        <v>-0.40559090859986757</v>
      </c>
      <c r="AY37" s="113">
        <f t="shared" si="22"/>
        <v>-0.45043921434703882</v>
      </c>
      <c r="AZ37" s="113">
        <f t="shared" si="22"/>
        <v>-0.49526937603821097</v>
      </c>
      <c r="BA37" s="113">
        <f t="shared" si="24"/>
        <v>-0.54008132633002637</v>
      </c>
      <c r="BB37" s="113">
        <f t="shared" si="24"/>
        <v>-0.5848749844802168</v>
      </c>
      <c r="BC37" s="113">
        <f t="shared" si="24"/>
        <v>-0.62965025605491376</v>
      </c>
      <c r="BD37" s="113">
        <f t="shared" si="24"/>
        <v>-0.67440703258269707</v>
      </c>
      <c r="BE37" s="113">
        <f t="shared" si="24"/>
        <v>-0.71914519115237296</v>
      </c>
      <c r="BF37" s="113">
        <f t="shared" si="24"/>
        <v>-0.76386459395092554</v>
      </c>
      <c r="BG37" s="113">
        <f t="shared" si="24"/>
        <v>-0.80856508773748093</v>
      </c>
      <c r="BH37" s="113">
        <f t="shared" si="24"/>
        <v>-0.85324650324844709</v>
      </c>
      <c r="BI37" s="113">
        <f t="shared" si="24"/>
        <v>-0.8979086545282351</v>
      </c>
    </row>
    <row r="38" spans="1:61">
      <c r="A38" s="113">
        <f t="shared" si="21"/>
        <v>2.1624999999999992</v>
      </c>
      <c r="B38" s="110">
        <f t="shared" si="4"/>
        <v>0.59066759112442369</v>
      </c>
      <c r="C38" s="159">
        <f t="shared" si="25"/>
        <v>0.79762054284990425</v>
      </c>
      <c r="D38" s="113">
        <f t="shared" si="25"/>
        <v>1.028793724311403E-3</v>
      </c>
      <c r="E38" s="113">
        <f t="shared" si="25"/>
        <v>2.8308905359010673E-4</v>
      </c>
      <c r="F38" s="113">
        <f t="shared" si="25"/>
        <v>9.7204470406406186E-4</v>
      </c>
      <c r="G38" s="113">
        <f t="shared" si="25"/>
        <v>2.0236889201202254E-4</v>
      </c>
      <c r="H38" s="113">
        <f t="shared" si="25"/>
        <v>7.373451552815079E-5</v>
      </c>
      <c r="I38" s="113"/>
      <c r="J38" s="113"/>
      <c r="K38" s="113">
        <f t="shared" si="6"/>
        <v>0.81466177585581723</v>
      </c>
      <c r="L38" s="107">
        <f t="shared" si="7"/>
        <v>0.80018057373940998</v>
      </c>
      <c r="M38" s="111">
        <f t="shared" si="8"/>
        <v>0.88232089357497223</v>
      </c>
      <c r="N38" s="113">
        <f t="shared" si="9"/>
        <v>1.4481202116407242E-2</v>
      </c>
      <c r="O38" s="114">
        <f t="shared" si="10"/>
        <v>2.9055192171928734</v>
      </c>
      <c r="P38" s="111">
        <f t="shared" si="11"/>
        <v>3.5002425521307847</v>
      </c>
      <c r="Q38" s="111">
        <v>1.524280000000001</v>
      </c>
      <c r="R38" s="107">
        <f t="shared" si="12"/>
        <v>1.5690755063047006</v>
      </c>
      <c r="S38" s="115">
        <v>0.90058636363636357</v>
      </c>
      <c r="T38" s="107">
        <f t="shared" si="20"/>
        <v>5.65</v>
      </c>
      <c r="U38" s="111">
        <f t="shared" si="13"/>
        <v>3.7032414778603755</v>
      </c>
      <c r="V38" s="111">
        <f t="shared" si="14"/>
        <v>3.6032414778603754</v>
      </c>
      <c r="W38" s="111">
        <f t="shared" si="15"/>
        <v>3.5002425521307847</v>
      </c>
      <c r="X38" s="111">
        <f t="shared" si="16"/>
        <v>6.3878545749424767</v>
      </c>
      <c r="Y38" s="115">
        <v>1.5680000000000003</v>
      </c>
      <c r="Z38" s="115">
        <v>0.4593192019702228</v>
      </c>
      <c r="AA38" s="113">
        <f t="shared" si="23"/>
        <v>-1.6042007809725922E-3</v>
      </c>
      <c r="AB38" s="113">
        <f t="shared" si="23"/>
        <v>-4.6614614932986007E-2</v>
      </c>
      <c r="AC38" s="113">
        <f t="shared" si="23"/>
        <v>-9.1606723234872789E-2</v>
      </c>
      <c r="AD38" s="113">
        <f t="shared" si="23"/>
        <v>4.3424581321502537E-2</v>
      </c>
      <c r="AE38" s="113">
        <f t="shared" si="23"/>
        <v>8.8471807172493061E-2</v>
      </c>
      <c r="AF38" s="113">
        <f t="shared" si="23"/>
        <v>0.13353756654708315</v>
      </c>
      <c r="AG38" s="113">
        <f t="shared" si="23"/>
        <v>0.17862196353149606</v>
      </c>
      <c r="AH38" s="113">
        <f t="shared" si="23"/>
        <v>0.22372511691494534</v>
      </c>
      <c r="AI38" s="113">
        <f t="shared" si="23"/>
        <v>0.2688471606427385</v>
      </c>
      <c r="AJ38" s="113">
        <f t="shared" si="23"/>
        <v>0.31398824433476497</v>
      </c>
      <c r="AK38" s="113">
        <f t="shared" si="23"/>
        <v>0.35914853387419066</v>
      </c>
      <c r="AL38" s="113">
        <f t="shared" si="23"/>
        <v>0.40432821207195641</v>
      </c>
      <c r="AM38" s="113">
        <f t="shared" si="23"/>
        <v>0.44952747941354948</v>
      </c>
      <c r="AN38" s="113">
        <f t="shared" si="23"/>
        <v>0.49474655489550917</v>
      </c>
      <c r="AO38" s="113">
        <f t="shared" si="23"/>
        <v>0.53998567696025734</v>
      </c>
      <c r="AP38" s="113">
        <f t="shared" si="23"/>
        <v>0.58524510453914091</v>
      </c>
      <c r="AQ38" s="113">
        <f t="shared" si="22"/>
        <v>0.63052511821506951</v>
      </c>
      <c r="AR38" s="113">
        <f t="shared" si="22"/>
        <v>-0.1365805743161943</v>
      </c>
      <c r="AS38" s="113">
        <f t="shared" si="22"/>
        <v>-0.18153620351226668</v>
      </c>
      <c r="AT38" s="113">
        <f t="shared" si="22"/>
        <v>-0.22647363299177783</v>
      </c>
      <c r="AU38" s="113">
        <f t="shared" si="22"/>
        <v>-0.27139287183657107</v>
      </c>
      <c r="AV38" s="113">
        <f t="shared" si="22"/>
        <v>-0.31629391607426816</v>
      </c>
      <c r="AW38" s="113">
        <f t="shared" si="22"/>
        <v>-0.36117674866400429</v>
      </c>
      <c r="AX38" s="113">
        <f t="shared" si="22"/>
        <v>-0.40604133943515658</v>
      </c>
      <c r="AY38" s="113">
        <f t="shared" si="22"/>
        <v>-0.45088764497855027</v>
      </c>
      <c r="AZ38" s="113">
        <f t="shared" si="22"/>
        <v>-0.49571560848922486</v>
      </c>
      <c r="BA38" s="113">
        <f t="shared" si="24"/>
        <v>-0.54052515955942404</v>
      </c>
      <c r="BB38" s="113">
        <f t="shared" si="24"/>
        <v>-0.5853162139200373</v>
      </c>
      <c r="BC38" s="113">
        <f t="shared" si="24"/>
        <v>-0.630088673128256</v>
      </c>
      <c r="BD38" s="113">
        <f t="shared" si="24"/>
        <v>-0.67484242419870111</v>
      </c>
      <c r="BE38" s="113">
        <f t="shared" si="24"/>
        <v>-0.71957733917474542</v>
      </c>
      <c r="BF38" s="113">
        <f t="shared" si="24"/>
        <v>-0.7642932746361446</v>
      </c>
      <c r="BG38" s="113">
        <f t="shared" si="24"/>
        <v>-0.80899007113843691</v>
      </c>
      <c r="BH38" s="113">
        <f t="shared" si="24"/>
        <v>-0.85366755257882687</v>
      </c>
      <c r="BI38" s="113">
        <f t="shared" si="24"/>
        <v>-0.89832552548243849</v>
      </c>
    </row>
    <row r="39" spans="1:61">
      <c r="A39" s="113">
        <f t="shared" si="21"/>
        <v>2.1849999999999992</v>
      </c>
      <c r="B39" s="110">
        <f t="shared" si="4"/>
        <v>0.59681326548294378</v>
      </c>
      <c r="C39" s="159">
        <f t="shared" si="25"/>
        <v>0.79548074098744725</v>
      </c>
      <c r="D39" s="113">
        <f t="shared" si="25"/>
        <v>1.6199694862608211E-3</v>
      </c>
      <c r="E39" s="113">
        <f t="shared" si="25"/>
        <v>4.4403858548700838E-4</v>
      </c>
      <c r="F39" s="113">
        <f t="shared" si="25"/>
        <v>1.665726393978923E-3</v>
      </c>
      <c r="G39" s="113">
        <f t="shared" si="25"/>
        <v>3.5518406762678284E-4</v>
      </c>
      <c r="H39" s="113">
        <f t="shared" si="25"/>
        <v>1.351358205729811E-4</v>
      </c>
      <c r="I39" s="113"/>
      <c r="J39" s="113"/>
      <c r="K39" s="113">
        <f t="shared" si="6"/>
        <v>0.81416857782075369</v>
      </c>
      <c r="L39" s="107">
        <f t="shared" si="7"/>
        <v>0.79970079534137384</v>
      </c>
      <c r="M39" s="111">
        <f t="shared" si="8"/>
        <v>0.88232812668076643</v>
      </c>
      <c r="N39" s="113">
        <f t="shared" si="9"/>
        <v>1.4467782479379862E-2</v>
      </c>
      <c r="O39" s="114">
        <f t="shared" si="10"/>
        <v>2.8755996829197201</v>
      </c>
      <c r="P39" s="111">
        <f t="shared" si="11"/>
        <v>3.5003366341219215</v>
      </c>
      <c r="Q39" s="111">
        <v>1.524280000000001</v>
      </c>
      <c r="R39" s="107">
        <f t="shared" si="12"/>
        <v>1.5690333851975939</v>
      </c>
      <c r="S39" s="115">
        <v>0.90058636363636357</v>
      </c>
      <c r="T39" s="107">
        <f t="shared" si="20"/>
        <v>5.65</v>
      </c>
      <c r="U39" s="111">
        <f t="shared" si="13"/>
        <v>3.7032414778603755</v>
      </c>
      <c r="V39" s="111">
        <f t="shared" si="14"/>
        <v>3.6032414778603754</v>
      </c>
      <c r="W39" s="111">
        <f t="shared" si="15"/>
        <v>3.5003366341219215</v>
      </c>
      <c r="X39" s="111">
        <f t="shared" si="16"/>
        <v>6.3971297014213082</v>
      </c>
      <c r="Y39" s="115">
        <v>1.5680000000000003</v>
      </c>
      <c r="Z39" s="115">
        <v>0.4593192019702228</v>
      </c>
      <c r="AA39" s="113">
        <f t="shared" si="23"/>
        <v>-2.0544466447827009E-3</v>
      </c>
      <c r="AB39" s="113">
        <f t="shared" si="23"/>
        <v>-4.7064574710739451E-2</v>
      </c>
      <c r="AC39" s="113">
        <f t="shared" si="23"/>
        <v>-9.2056207597806278E-2</v>
      </c>
      <c r="AD39" s="113">
        <f t="shared" si="23"/>
        <v>4.2974239783707562E-2</v>
      </c>
      <c r="AE39" s="113">
        <f t="shared" si="23"/>
        <v>8.8021561885594443E-2</v>
      </c>
      <c r="AF39" s="113">
        <f t="shared" si="23"/>
        <v>0.13308761138980069</v>
      </c>
      <c r="AG39" s="113">
        <f t="shared" si="23"/>
        <v>0.17817249479185904</v>
      </c>
      <c r="AH39" s="113">
        <f t="shared" si="23"/>
        <v>0.22327633376331044</v>
      </c>
      <c r="AI39" s="113">
        <f t="shared" si="23"/>
        <v>0.26839926562569577</v>
      </c>
      <c r="AJ39" s="113">
        <f t="shared" si="23"/>
        <v>0.31354144389355515</v>
      </c>
      <c r="AK39" s="113">
        <f t="shared" si="23"/>
        <v>0.35870303889159644</v>
      </c>
      <c r="AL39" s="113">
        <f t="shared" si="23"/>
        <v>0.40388423845202914</v>
      </c>
      <c r="AM39" s="113">
        <f t="shared" si="23"/>
        <v>0.44908524869900568</v>
      </c>
      <c r="AN39" s="113">
        <f t="shared" si="23"/>
        <v>0.49430629492818656</v>
      </c>
      <c r="AO39" s="113">
        <f t="shared" si="23"/>
        <v>0.53954762259067168</v>
      </c>
      <c r="AP39" s="113">
        <f t="shared" si="23"/>
        <v>0.58480949839195262</v>
      </c>
      <c r="AQ39" s="113">
        <f t="shared" si="22"/>
        <v>0.6300922115181693</v>
      </c>
      <c r="AR39" s="113">
        <f t="shared" si="22"/>
        <v>-0.1370293945981198</v>
      </c>
      <c r="AS39" s="113">
        <f t="shared" si="22"/>
        <v>-0.18198417129496358</v>
      </c>
      <c r="AT39" s="113">
        <f t="shared" si="22"/>
        <v>-0.2269205596939517</v>
      </c>
      <c r="AU39" s="113">
        <f t="shared" si="22"/>
        <v>-0.27183856830387443</v>
      </c>
      <c r="AV39" s="113">
        <f t="shared" si="22"/>
        <v>-0.316738192167901</v>
      </c>
      <c r="AW39" s="113">
        <f t="shared" si="22"/>
        <v>-0.36161941284540589</v>
      </c>
      <c r="AX39" s="113">
        <f t="shared" si="22"/>
        <v>-0.40648219834426447</v>
      </c>
      <c r="AY39" s="113">
        <f t="shared" si="22"/>
        <v>-0.4513265030030354</v>
      </c>
      <c r="AZ39" s="113">
        <f t="shared" si="22"/>
        <v>-0.49615226732201506</v>
      </c>
      <c r="BA39" s="113">
        <f t="shared" si="24"/>
        <v>-0.5409594177416972</v>
      </c>
      <c r="BB39" s="113">
        <f t="shared" si="24"/>
        <v>-0.58574786636669929</v>
      </c>
      <c r="BC39" s="113">
        <f t="shared" si="24"/>
        <v>-0.63051751063271233</v>
      </c>
      <c r="BD39" s="113">
        <f t="shared" si="24"/>
        <v>-0.67526823291348559</v>
      </c>
      <c r="BE39" s="113">
        <f t="shared" si="24"/>
        <v>-0.71999990006426839</v>
      </c>
      <c r="BF39" s="113">
        <f t="shared" si="24"/>
        <v>-0.76471236289747824</v>
      </c>
      <c r="BG39" s="113">
        <f t="shared" si="24"/>
        <v>-0.80940545558563637</v>
      </c>
      <c r="BH39" s="113">
        <f t="shared" si="24"/>
        <v>-0.8540789949858083</v>
      </c>
      <c r="BI39" s="113">
        <f t="shared" si="24"/>
        <v>-0.89873277987886335</v>
      </c>
    </row>
    <row r="40" spans="1:61">
      <c r="A40" s="113">
        <f t="shared" si="21"/>
        <v>2.2074999999999991</v>
      </c>
      <c r="B40" s="110">
        <f t="shared" si="4"/>
        <v>0.60295893984146376</v>
      </c>
      <c r="C40" s="159">
        <f t="shared" si="25"/>
        <v>0.79288071976871055</v>
      </c>
      <c r="D40" s="113">
        <f t="shared" si="25"/>
        <v>2.3103514085281384E-3</v>
      </c>
      <c r="E40" s="113">
        <f t="shared" si="25"/>
        <v>6.3360524377201904E-4</v>
      </c>
      <c r="F40" s="113">
        <f t="shared" si="25"/>
        <v>2.5410452068276453E-3</v>
      </c>
      <c r="G40" s="113">
        <f t="shared" si="25"/>
        <v>5.4754712256070562E-4</v>
      </c>
      <c r="H40" s="113">
        <f t="shared" si="25"/>
        <v>2.1341994529168869E-4</v>
      </c>
      <c r="I40" s="113"/>
      <c r="J40" s="113"/>
      <c r="K40" s="113">
        <f t="shared" si="6"/>
        <v>0.81358145429521767</v>
      </c>
      <c r="L40" s="107">
        <f t="shared" si="7"/>
        <v>0.79912668869569059</v>
      </c>
      <c r="M40" s="111">
        <f t="shared" si="8"/>
        <v>0.88233514268455671</v>
      </c>
      <c r="N40" s="113">
        <f t="shared" si="9"/>
        <v>1.4454765599527119E-2</v>
      </c>
      <c r="O40" s="114">
        <f t="shared" si="10"/>
        <v>2.8462900598775032</v>
      </c>
      <c r="P40" s="111">
        <f t="shared" si="11"/>
        <v>3.5004278948622742</v>
      </c>
      <c r="Q40" s="111">
        <v>1.524280000000001</v>
      </c>
      <c r="R40" s="107">
        <f t="shared" si="12"/>
        <v>1.5689925293471707</v>
      </c>
      <c r="S40" s="115">
        <v>0.90058636363636357</v>
      </c>
      <c r="T40" s="107">
        <f t="shared" si="20"/>
        <v>5.65</v>
      </c>
      <c r="U40" s="111">
        <f t="shared" si="13"/>
        <v>3.7032414778603755</v>
      </c>
      <c r="V40" s="111">
        <f t="shared" si="14"/>
        <v>3.6032414778603754</v>
      </c>
      <c r="W40" s="111">
        <f t="shared" si="15"/>
        <v>3.5004278948622742</v>
      </c>
      <c r="X40" s="111">
        <f t="shared" si="16"/>
        <v>6.4064049962440306</v>
      </c>
      <c r="Y40" s="115">
        <v>1.5680000000000003</v>
      </c>
      <c r="Z40" s="115">
        <v>0.4593192019702228</v>
      </c>
      <c r="AA40" s="113">
        <f t="shared" si="23"/>
        <v>-2.495417797017313E-3</v>
      </c>
      <c r="AB40" s="113">
        <f t="shared" si="23"/>
        <v>-4.7505259792174681E-2</v>
      </c>
      <c r="AC40" s="113">
        <f t="shared" si="23"/>
        <v>-9.2496417296905636E-2</v>
      </c>
      <c r="AD40" s="113">
        <f t="shared" si="23"/>
        <v>4.2533172960093957E-2</v>
      </c>
      <c r="AE40" s="113">
        <f t="shared" si="23"/>
        <v>8.7580591316247319E-2</v>
      </c>
      <c r="AF40" s="113">
        <f t="shared" si="23"/>
        <v>0.13264693097680724</v>
      </c>
      <c r="AG40" s="113">
        <f t="shared" si="23"/>
        <v>0.17773230087887643</v>
      </c>
      <c r="AH40" s="113">
        <f t="shared" si="23"/>
        <v>0.22283682561884444</v>
      </c>
      <c r="AI40" s="113">
        <f t="shared" si="23"/>
        <v>0.26796064594801633</v>
      </c>
      <c r="AJ40" s="113">
        <f t="shared" si="23"/>
        <v>0.31310391934103632</v>
      </c>
      <c r="AK40" s="113">
        <f t="shared" si="23"/>
        <v>0.35826682064262427</v>
      </c>
      <c r="AL40" s="113">
        <f t="shared" si="23"/>
        <v>0.40344954279904799</v>
      </c>
      <c r="AM40" s="113">
        <f t="shared" si="23"/>
        <v>0.44865229768177339</v>
      </c>
      <c r="AN40" s="113">
        <f t="shared" si="23"/>
        <v>0.49387531701190113</v>
      </c>
      <c r="AO40" s="113">
        <f t="shared" si="23"/>
        <v>0.53911885339532739</v>
      </c>
      <c r="AP40" s="113">
        <f t="shared" si="23"/>
        <v>0.58438318148010204</v>
      </c>
      <c r="AQ40" s="113">
        <f t="shared" si="22"/>
        <v>0.62966859924923202</v>
      </c>
      <c r="AR40" s="113">
        <f t="shared" si="22"/>
        <v>-0.13746894026188983</v>
      </c>
      <c r="AS40" s="113">
        <f t="shared" si="22"/>
        <v>-0.18242286450586151</v>
      </c>
      <c r="AT40" s="113">
        <f t="shared" si="22"/>
        <v>-0.22735821185037761</v>
      </c>
      <c r="AU40" s="113">
        <f t="shared" si="22"/>
        <v>-0.27227499020163926</v>
      </c>
      <c r="AV40" s="113">
        <f t="shared" si="22"/>
        <v>-0.317173193580084</v>
      </c>
      <c r="AW40" s="113">
        <f t="shared" si="22"/>
        <v>-0.36205280209800716</v>
      </c>
      <c r="AX40" s="113">
        <f t="shared" si="22"/>
        <v>-0.40691378188501759</v>
      </c>
      <c r="AY40" s="113">
        <f t="shared" si="22"/>
        <v>-0.45175608496067365</v>
      </c>
      <c r="AZ40" s="113">
        <f t="shared" si="22"/>
        <v>-0.49657964905317853</v>
      </c>
      <c r="BA40" s="113">
        <f t="shared" si="24"/>
        <v>-0.54138439736252719</v>
      </c>
      <c r="BB40" s="113">
        <f t="shared" si="24"/>
        <v>-0.58617023826598724</v>
      </c>
      <c r="BC40" s="113">
        <f t="shared" si="24"/>
        <v>-0.63093706496324908</v>
      </c>
      <c r="BD40" s="113">
        <f t="shared" si="24"/>
        <v>-0.67568475505798831</v>
      </c>
      <c r="BE40" s="113">
        <f t="shared" si="24"/>
        <v>-0.72041317007194583</v>
      </c>
      <c r="BF40" s="113">
        <f t="shared" si="24"/>
        <v>-0.76512215488691127</v>
      </c>
      <c r="BG40" s="113">
        <f t="shared" si="24"/>
        <v>-0.80981153710921094</v>
      </c>
      <c r="BH40" s="113">
        <f t="shared" si="24"/>
        <v>-0.85448112635040974</v>
      </c>
      <c r="BI40" s="113">
        <f t="shared" si="24"/>
        <v>-0.89913071341693163</v>
      </c>
    </row>
    <row r="41" spans="1:61">
      <c r="A41" s="113">
        <f t="shared" si="21"/>
        <v>2.2299999999999991</v>
      </c>
      <c r="B41" s="110">
        <f t="shared" si="4"/>
        <v>0.60910461419998374</v>
      </c>
      <c r="C41" s="159">
        <f t="shared" si="25"/>
        <v>0.78985363156832622</v>
      </c>
      <c r="D41" s="113">
        <f t="shared" si="25"/>
        <v>3.08477709352661E-3</v>
      </c>
      <c r="E41" s="113">
        <f t="shared" si="25"/>
        <v>8.4835058871092495E-4</v>
      </c>
      <c r="F41" s="113">
        <f t="shared" si="25"/>
        <v>3.5948093234805453E-3</v>
      </c>
      <c r="G41" s="113">
        <f t="shared" si="25"/>
        <v>7.7748021771338485E-4</v>
      </c>
      <c r="H41" s="113">
        <f t="shared" si="25"/>
        <v>3.0757960433908994E-4</v>
      </c>
      <c r="I41" s="113"/>
      <c r="J41" s="113"/>
      <c r="K41" s="113">
        <f t="shared" si="6"/>
        <v>0.81290876397137135</v>
      </c>
      <c r="L41" s="107">
        <f t="shared" si="7"/>
        <v>0.79846662839609683</v>
      </c>
      <c r="M41" s="111">
        <f t="shared" si="8"/>
        <v>0.88234195015881234</v>
      </c>
      <c r="N41" s="113">
        <f t="shared" si="9"/>
        <v>1.4442135575274559E-2</v>
      </c>
      <c r="O41" s="114">
        <f t="shared" si="10"/>
        <v>2.8175718866276185</v>
      </c>
      <c r="P41" s="111">
        <f t="shared" si="11"/>
        <v>3.5005164456231359</v>
      </c>
      <c r="Q41" s="111">
        <v>1.524280000000001</v>
      </c>
      <c r="R41" s="107">
        <f t="shared" si="12"/>
        <v>1.5689528887451567</v>
      </c>
      <c r="S41" s="115">
        <v>0.90058636363636357</v>
      </c>
      <c r="T41" s="107">
        <f t="shared" si="20"/>
        <v>5.65</v>
      </c>
      <c r="U41" s="111">
        <f t="shared" si="13"/>
        <v>3.7032414778603755</v>
      </c>
      <c r="V41" s="111">
        <f t="shared" si="14"/>
        <v>3.6032414778603754</v>
      </c>
      <c r="W41" s="111">
        <f t="shared" si="15"/>
        <v>3.5005164456231359</v>
      </c>
      <c r="X41" s="111">
        <f t="shared" si="16"/>
        <v>6.4156804596628945</v>
      </c>
      <c r="Y41" s="115">
        <v>1.5680000000000003</v>
      </c>
      <c r="Z41" s="115">
        <v>0.4593192019702228</v>
      </c>
      <c r="AA41" s="113">
        <f t="shared" si="23"/>
        <v>-2.9273986710525932E-3</v>
      </c>
      <c r="AB41" s="113">
        <f t="shared" si="23"/>
        <v>-4.7936954610610691E-2</v>
      </c>
      <c r="AC41" s="113">
        <f t="shared" si="23"/>
        <v>-9.2927636765245597E-2</v>
      </c>
      <c r="AD41" s="113">
        <f t="shared" si="23"/>
        <v>4.2101096417281686E-2</v>
      </c>
      <c r="AE41" s="113">
        <f t="shared" si="23"/>
        <v>8.7148611031075671E-2</v>
      </c>
      <c r="AF41" s="113">
        <f t="shared" si="23"/>
        <v>0.13221524087478828</v>
      </c>
      <c r="AG41" s="113">
        <f t="shared" si="23"/>
        <v>0.17730109735950789</v>
      </c>
      <c r="AH41" s="113">
        <f t="shared" si="23"/>
        <v>0.22240630804926895</v>
      </c>
      <c r="AI41" s="113">
        <f t="shared" si="23"/>
        <v>0.26753101717908717</v>
      </c>
      <c r="AJ41" s="113">
        <f t="shared" si="23"/>
        <v>0.312675386249744</v>
      </c>
      <c r="AK41" s="113">
        <f t="shared" si="23"/>
        <v>0.35783959470521931</v>
      </c>
      <c r="AL41" s="113">
        <f t="shared" si="23"/>
        <v>0.40302384069964314</v>
      </c>
      <c r="AM41" s="113">
        <f t="shared" si="23"/>
        <v>0.44822834196174449</v>
      </c>
      <c r="AN41" s="113">
        <f t="shared" si="23"/>
        <v>0.49345333676603192</v>
      </c>
      <c r="AO41" s="113">
        <f t="shared" si="23"/>
        <v>0.53869908502138708</v>
      </c>
      <c r="AP41" s="113">
        <f t="shared" si="23"/>
        <v>0.58396586948941687</v>
      </c>
      <c r="AQ41" s="113">
        <f t="shared" si="22"/>
        <v>0.62925399714684427</v>
      </c>
      <c r="AR41" s="113">
        <f t="shared" si="22"/>
        <v>-0.13789949573992852</v>
      </c>
      <c r="AS41" s="113">
        <f t="shared" si="22"/>
        <v>-0.18285256757602286</v>
      </c>
      <c r="AT41" s="113">
        <f t="shared" si="22"/>
        <v>-0.22778687388965127</v>
      </c>
      <c r="AU41" s="113">
        <f t="shared" si="22"/>
        <v>-0.27270242195439992</v>
      </c>
      <c r="AV41" s="113">
        <f t="shared" si="22"/>
        <v>-0.3175992047291003</v>
      </c>
      <c r="AW41" s="113">
        <f t="shared" si="22"/>
        <v>-0.36247720083093538</v>
      </c>
      <c r="AX41" s="113">
        <f t="shared" si="22"/>
        <v>-0.40733637445363141</v>
      </c>
      <c r="AY41" s="113">
        <f t="shared" si="22"/>
        <v>-0.45217667523000327</v>
      </c>
      <c r="AZ41" s="113">
        <f t="shared" si="22"/>
        <v>-0.49699803803761633</v>
      </c>
      <c r="BA41" s="113">
        <f t="shared" si="24"/>
        <v>-0.54180038274580711</v>
      </c>
      <c r="BB41" s="113">
        <f t="shared" si="24"/>
        <v>-0.58658361390175029</v>
      </c>
      <c r="BC41" s="113">
        <f t="shared" si="24"/>
        <v>-0.63134762035266845</v>
      </c>
      <c r="BD41" s="113">
        <f t="shared" si="24"/>
        <v>-0.67609227480064227</v>
      </c>
      <c r="BE41" s="113">
        <f t="shared" si="24"/>
        <v>-0.72081743328577741</v>
      </c>
      <c r="BF41" s="113">
        <f t="shared" si="24"/>
        <v>-0.76552293459271048</v>
      </c>
      <c r="BG41" s="113">
        <f t="shared" si="24"/>
        <v>-0.81020859957456992</v>
      </c>
      <c r="BH41" s="113">
        <f t="shared" si="24"/>
        <v>-0.85487423038753774</v>
      </c>
      <c r="BI41" s="113">
        <f t="shared" si="24"/>
        <v>-0.899519609628053</v>
      </c>
    </row>
    <row r="42" spans="1:61">
      <c r="A42" s="113">
        <f t="shared" si="21"/>
        <v>2.2524999999999991</v>
      </c>
      <c r="B42" s="110">
        <f t="shared" si="4"/>
        <v>0.61525028855850383</v>
      </c>
      <c r="C42" s="159">
        <f t="shared" si="25"/>
        <v>0.78643104827119648</v>
      </c>
      <c r="D42" s="113">
        <f t="shared" si="25"/>
        <v>3.9295937423524697E-3</v>
      </c>
      <c r="E42" s="113">
        <f t="shared" si="25"/>
        <v>1.0850754002215608E-3</v>
      </c>
      <c r="F42" s="113">
        <f t="shared" si="25"/>
        <v>4.8233750317430166E-3</v>
      </c>
      <c r="G42" s="113">
        <f t="shared" si="25"/>
        <v>1.0429688089427867E-3</v>
      </c>
      <c r="H42" s="113">
        <f t="shared" si="25"/>
        <v>4.1660629541755628E-4</v>
      </c>
      <c r="I42" s="113"/>
      <c r="J42" s="113"/>
      <c r="K42" s="113">
        <f t="shared" si="6"/>
        <v>0.81215854482924299</v>
      </c>
      <c r="L42" s="107">
        <f t="shared" si="7"/>
        <v>0.79772866754987382</v>
      </c>
      <c r="M42" s="111">
        <f t="shared" si="8"/>
        <v>0.88234855725851757</v>
      </c>
      <c r="N42" s="113">
        <f t="shared" si="9"/>
        <v>1.4429877279369181E-2</v>
      </c>
      <c r="O42" s="114">
        <f t="shared" si="10"/>
        <v>2.789427439369407</v>
      </c>
      <c r="P42" s="111">
        <f t="shared" si="11"/>
        <v>3.5006023922642688</v>
      </c>
      <c r="Q42" s="111">
        <v>1.524280000000001</v>
      </c>
      <c r="R42" s="107">
        <f t="shared" si="12"/>
        <v>1.5689144158215358</v>
      </c>
      <c r="S42" s="115">
        <v>0.90058636363636357</v>
      </c>
      <c r="T42" s="107">
        <f t="shared" si="20"/>
        <v>5.65</v>
      </c>
      <c r="U42" s="111">
        <f t="shared" si="13"/>
        <v>3.7032414778603755</v>
      </c>
      <c r="V42" s="111">
        <f t="shared" si="14"/>
        <v>3.6032414778603754</v>
      </c>
      <c r="W42" s="111">
        <f t="shared" si="15"/>
        <v>3.5006023922642688</v>
      </c>
      <c r="X42" s="111">
        <f t="shared" si="16"/>
        <v>6.4249560919301967</v>
      </c>
      <c r="Y42" s="115">
        <v>1.5680000000000003</v>
      </c>
      <c r="Z42" s="115">
        <v>0.4593192019702228</v>
      </c>
      <c r="AA42" s="113">
        <f t="shared" si="23"/>
        <v>-3.3506621571268644E-3</v>
      </c>
      <c r="AB42" s="113">
        <f t="shared" si="23"/>
        <v>-4.8359932056228655E-2</v>
      </c>
      <c r="AC42" s="113">
        <f t="shared" si="23"/>
        <v>-9.3350138892763113E-2</v>
      </c>
      <c r="AD42" s="113">
        <f t="shared" si="23"/>
        <v>4.1677737265028568E-2</v>
      </c>
      <c r="AE42" s="113">
        <f t="shared" si="23"/>
        <v>8.6725348139841313E-2</v>
      </c>
      <c r="AF42" s="113">
        <f t="shared" si="23"/>
        <v>0.13179226819356721</v>
      </c>
      <c r="AG42" s="113">
        <f t="shared" si="23"/>
        <v>0.17687861134385108</v>
      </c>
      <c r="AH42" s="113">
        <f t="shared" si="23"/>
        <v>0.22198450816544474</v>
      </c>
      <c r="AI42" s="113">
        <f t="shared" si="23"/>
        <v>0.26711010643143696</v>
      </c>
      <c r="AJ42" s="113">
        <f t="shared" si="23"/>
        <v>0.31225557173536306</v>
      </c>
      <c r="AK42" s="113">
        <f t="shared" si="23"/>
        <v>0.35742108820049201</v>
      </c>
      <c r="AL42" s="113">
        <f t="shared" si="23"/>
        <v>0.40260685928364232</v>
      </c>
      <c r="AM42" s="113">
        <f t="shared" si="23"/>
        <v>0.44781310868206747</v>
      </c>
      <c r="AN42" s="113">
        <f t="shared" si="23"/>
        <v>0.49304008135331701</v>
      </c>
      <c r="AO42" s="113">
        <f t="shared" si="23"/>
        <v>0.53828804465954261</v>
      </c>
      <c r="AP42" s="113">
        <f t="shared" si="23"/>
        <v>0.58355728964952769</v>
      </c>
      <c r="AQ42" s="113">
        <f t="shared" si="22"/>
        <v>0.62884813249382243</v>
      </c>
      <c r="AR42" s="113">
        <f t="shared" si="22"/>
        <v>-0.13832133392152246</v>
      </c>
      <c r="AS42" s="113">
        <f t="shared" si="22"/>
        <v>-0.1832735533933729</v>
      </c>
      <c r="AT42" s="113">
        <f t="shared" si="22"/>
        <v>-0.22820681869723142</v>
      </c>
      <c r="AU42" s="113">
        <f t="shared" si="22"/>
        <v>-0.27312113644355346</v>
      </c>
      <c r="AV42" s="113">
        <f t="shared" si="22"/>
        <v>-0.31801649849009306</v>
      </c>
      <c r="AW42" s="113">
        <f t="shared" si="22"/>
        <v>-0.36289288191017038</v>
      </c>
      <c r="AX42" s="113">
        <f t="shared" si="22"/>
        <v>-0.40775024890315792</v>
      </c>
      <c r="AY42" s="113">
        <f t="shared" si="22"/>
        <v>-0.45258854664636733</v>
      </c>
      <c r="AZ42" s="113">
        <f t="shared" si="22"/>
        <v>-0.49740770708697823</v>
      </c>
      <c r="BA42" s="113">
        <f t="shared" si="24"/>
        <v>-0.54220764667208499</v>
      </c>
      <c r="BB42" s="113">
        <f t="shared" si="24"/>
        <v>-0.58698826601434129</v>
      </c>
      <c r="BC42" s="113">
        <f t="shared" si="24"/>
        <v>-0.6317494494900443</v>
      </c>
      <c r="BD42" s="113">
        <f t="shared" si="24"/>
        <v>-0.67649106476580256</v>
      </c>
      <c r="BE42" s="113">
        <f t="shared" si="24"/>
        <v>-0.72121296224917564</v>
      </c>
      <c r="BF42" s="113">
        <f t="shared" si="24"/>
        <v>-0.76591497445782564</v>
      </c>
      <c r="BG42" s="113">
        <f t="shared" si="24"/>
        <v>-0.81059691530077937</v>
      </c>
      <c r="BH42" s="113">
        <f t="shared" si="24"/>
        <v>-0.85525857926433335</v>
      </c>
      <c r="BI42" s="113">
        <f t="shared" si="24"/>
        <v>-0.89989974049392674</v>
      </c>
    </row>
    <row r="43" spans="1:61">
      <c r="A43" s="113">
        <f t="shared" si="21"/>
        <v>2.274999999999999</v>
      </c>
      <c r="B43" s="110">
        <f t="shared" si="4"/>
        <v>0.6213959629170237</v>
      </c>
      <c r="C43" s="159">
        <f t="shared" si="25"/>
        <v>0.78264298658005949</v>
      </c>
      <c r="D43" s="113">
        <f t="shared" si="25"/>
        <v>4.8325309165502851E-3</v>
      </c>
      <c r="E43" s="113">
        <f t="shared" si="25"/>
        <v>1.340811964341701E-3</v>
      </c>
      <c r="F43" s="113">
        <f t="shared" si="25"/>
        <v>6.2227106587253575E-3</v>
      </c>
      <c r="G43" s="113">
        <f t="shared" si="25"/>
        <v>1.3419792313293685E-3</v>
      </c>
      <c r="H43" s="113">
        <f t="shared" si="25"/>
        <v>5.3949762672742473E-4</v>
      </c>
      <c r="I43" s="113"/>
      <c r="J43" s="113"/>
      <c r="K43" s="113">
        <f t="shared" si="6"/>
        <v>0.81133849329196983</v>
      </c>
      <c r="L43" s="107">
        <f t="shared" si="7"/>
        <v>0.7969205169777337</v>
      </c>
      <c r="M43" s="111">
        <f t="shared" si="8"/>
        <v>0.88235497174524469</v>
      </c>
      <c r="N43" s="113">
        <f t="shared" si="9"/>
        <v>1.4417976314236178E-2</v>
      </c>
      <c r="O43" s="114">
        <f t="shared" si="10"/>
        <v>2.7618396954635558</v>
      </c>
      <c r="P43" s="111">
        <f t="shared" si="11"/>
        <v>3.500685835545442</v>
      </c>
      <c r="Q43" s="111">
        <v>1.524280000000001</v>
      </c>
      <c r="R43" s="107">
        <f t="shared" si="12"/>
        <v>1.5688770653037629</v>
      </c>
      <c r="S43" s="115">
        <v>0.90058636363636357</v>
      </c>
      <c r="T43" s="107">
        <f t="shared" si="20"/>
        <v>5.65</v>
      </c>
      <c r="U43" s="111">
        <f t="shared" si="13"/>
        <v>3.7032414778603755</v>
      </c>
      <c r="V43" s="111">
        <f t="shared" si="14"/>
        <v>3.6032414778603754</v>
      </c>
      <c r="W43" s="111">
        <f t="shared" si="15"/>
        <v>3.500685835545442</v>
      </c>
      <c r="X43" s="111">
        <f t="shared" si="16"/>
        <v>6.4342318932982696</v>
      </c>
      <c r="Y43" s="115">
        <v>1.5680000000000003</v>
      </c>
      <c r="Z43" s="115">
        <v>0.4593192019702228</v>
      </c>
      <c r="AA43" s="113">
        <f t="shared" si="23"/>
        <v>-3.7654701833555182E-3</v>
      </c>
      <c r="AB43" s="113">
        <f t="shared" si="23"/>
        <v>-4.8774454057086844E-2</v>
      </c>
      <c r="AC43" s="113">
        <f t="shared" si="23"/>
        <v>-9.3764185607272399E-2</v>
      </c>
      <c r="AD43" s="113">
        <f t="shared" si="23"/>
        <v>4.1262833575215326E-2</v>
      </c>
      <c r="AE43" s="113">
        <f t="shared" si="23"/>
        <v>8.6310540714429035E-2</v>
      </c>
      <c r="AF43" s="113">
        <f t="shared" si="23"/>
        <v>0.13137775100509028</v>
      </c>
      <c r="AG43" s="113">
        <f t="shared" si="23"/>
        <v>0.17646458090412695</v>
      </c>
      <c r="AH43" s="113">
        <f t="shared" si="23"/>
        <v>0.22157116404035668</v>
      </c>
      <c r="AI43" s="113">
        <f t="shared" si="23"/>
        <v>0.26669765177972182</v>
      </c>
      <c r="AJ43" s="113">
        <f t="shared" si="23"/>
        <v>0.31184421387571282</v>
      </c>
      <c r="AK43" s="113">
        <f t="shared" si="23"/>
        <v>0.35701103921170374</v>
      </c>
      <c r="AL43" s="113">
        <f t="shared" si="23"/>
        <v>0.4021983366430561</v>
      </c>
      <c r="AM43" s="113">
        <f t="shared" si="23"/>
        <v>0.44740633594813306</v>
      </c>
      <c r="AN43" s="113">
        <f t="shared" si="23"/>
        <v>0.49263528889884045</v>
      </c>
      <c r="AO43" s="113">
        <f t="shared" si="23"/>
        <v>0.53788547046300483</v>
      </c>
      <c r="AP43" s="113">
        <f t="shared" ref="AP43:BE53" si="26">$M$5*AP$10+($O43*$R43*COS(PI()/180*$P43)-($O43^2*1^2-($O43*$R43*SIN(PI()/180*$P43)+$M$5*AP$10)^2)^0.5)*TAN(PI()/180*$D$6)</f>
        <v>0.58315718015286155</v>
      </c>
      <c r="AQ43" s="113">
        <f t="shared" si="26"/>
        <v>0.62845074353621166</v>
      </c>
      <c r="AR43" s="113">
        <f t="shared" si="26"/>
        <v>-0.13873471673383564</v>
      </c>
      <c r="AS43" s="113">
        <f t="shared" si="26"/>
        <v>-0.18368608388371449</v>
      </c>
      <c r="AT43" s="113">
        <f t="shared" si="26"/>
        <v>-0.22861830819645484</v>
      </c>
      <c r="AU43" s="113">
        <f t="shared" si="26"/>
        <v>-0.27353139558837425</v>
      </c>
      <c r="AV43" s="113">
        <f t="shared" si="26"/>
        <v>-0.31842533677607993</v>
      </c>
      <c r="AW43" s="113">
        <f t="shared" si="26"/>
        <v>-0.36330010723955919</v>
      </c>
      <c r="AX43" s="113">
        <f t="shared" si="26"/>
        <v>-0.40815566712449936</v>
      </c>
      <c r="AY43" s="113">
        <f t="shared" si="26"/>
        <v>-0.45299196108292716</v>
      </c>
      <c r="AZ43" s="113">
        <f t="shared" si="26"/>
        <v>-0.49780891805067512</v>
      </c>
      <c r="BA43" s="113">
        <f t="shared" si="26"/>
        <v>-0.54260645095957327</v>
      </c>
      <c r="BB43" s="113">
        <f t="shared" si="26"/>
        <v>-0.58738445638162395</v>
      </c>
      <c r="BC43" s="113">
        <f t="shared" si="26"/>
        <v>-0.63214281410172335</v>
      </c>
      <c r="BD43" s="113">
        <f t="shared" si="26"/>
        <v>-0.6768813866147414</v>
      </c>
      <c r="BE43" s="113">
        <f t="shared" si="26"/>
        <v>-0.721600018541949</v>
      </c>
      <c r="BF43" s="113">
        <f t="shared" si="24"/>
        <v>-0.76629853596085673</v>
      </c>
      <c r="BG43" s="113">
        <f t="shared" si="24"/>
        <v>-0.81097674564150601</v>
      </c>
      <c r="BH43" s="113">
        <f t="shared" si="24"/>
        <v>-0.85563443418108343</v>
      </c>
      <c r="BI43" s="113">
        <f t="shared" si="24"/>
        <v>-0.90027136702740695</v>
      </c>
    </row>
    <row r="44" spans="1:61">
      <c r="A44" s="113">
        <f t="shared" si="21"/>
        <v>2.297499999999999</v>
      </c>
      <c r="B44" s="110">
        <f t="shared" si="4"/>
        <v>0.6275416372755438</v>
      </c>
      <c r="C44" s="159">
        <f t="shared" si="25"/>
        <v>0.77851794049424472</v>
      </c>
      <c r="D44" s="113">
        <f t="shared" si="25"/>
        <v>5.7825822552483057E-3</v>
      </c>
      <c r="E44" s="113">
        <f t="shared" si="25"/>
        <v>1.6128152363241945E-3</v>
      </c>
      <c r="F44" s="113">
        <f t="shared" si="25"/>
        <v>7.7884553134818374E-3</v>
      </c>
      <c r="G44" s="113">
        <f t="shared" si="25"/>
        <v>1.6724740632372936E-3</v>
      </c>
      <c r="H44" s="113">
        <f t="shared" si="25"/>
        <v>6.7526355836632513E-4</v>
      </c>
      <c r="I44" s="113"/>
      <c r="J44" s="113"/>
      <c r="K44" s="113">
        <f t="shared" si="6"/>
        <v>0.81045594989120018</v>
      </c>
      <c r="L44" s="107">
        <f t="shared" si="7"/>
        <v>0.79604953092090269</v>
      </c>
      <c r="M44" s="111">
        <f t="shared" si="8"/>
        <v>0.88236120100963022</v>
      </c>
      <c r="N44" s="113">
        <f t="shared" si="9"/>
        <v>1.440641897029747E-2</v>
      </c>
      <c r="O44" s="114">
        <f t="shared" si="10"/>
        <v>2.7347922990988418</v>
      </c>
      <c r="P44" s="111">
        <f t="shared" si="11"/>
        <v>3.5007668714173485</v>
      </c>
      <c r="Q44" s="111">
        <v>1.524280000000001</v>
      </c>
      <c r="R44" s="107">
        <f t="shared" si="12"/>
        <v>1.5688407940853335</v>
      </c>
      <c r="S44" s="115">
        <v>0.90058636363636357</v>
      </c>
      <c r="T44" s="107">
        <f t="shared" si="20"/>
        <v>5.65</v>
      </c>
      <c r="U44" s="111">
        <f t="shared" si="13"/>
        <v>3.7032414778603755</v>
      </c>
      <c r="V44" s="111">
        <f t="shared" si="14"/>
        <v>3.6032414778603754</v>
      </c>
      <c r="W44" s="111">
        <f t="shared" si="15"/>
        <v>3.5007668714173485</v>
      </c>
      <c r="X44" s="111">
        <f t="shared" si="16"/>
        <v>6.4435078640194909</v>
      </c>
      <c r="Y44" s="115">
        <v>1.5680000000000003</v>
      </c>
      <c r="Z44" s="115">
        <v>0.4593192019702228</v>
      </c>
      <c r="AA44" s="113">
        <f t="shared" ref="AA44:AP53" si="27">$M$5*AA$10+($O44*$R44*COS(PI()/180*$P44)-($O44^2*1^2-($O44*$R44*SIN(PI()/180*$P44)+$M$5*AA$10)^2)^0.5)*TAN(PI()/180*$D$6)</f>
        <v>-4.1720742619353532E-3</v>
      </c>
      <c r="AB44" s="113">
        <f t="shared" si="27"/>
        <v>-4.9180772125324956E-2</v>
      </c>
      <c r="AC44" s="113">
        <f t="shared" si="27"/>
        <v>-9.4170028420669044E-2</v>
      </c>
      <c r="AD44" s="113">
        <f t="shared" si="27"/>
        <v>4.0856133835641323E-2</v>
      </c>
      <c r="AE44" s="113">
        <f t="shared" si="27"/>
        <v>8.5903937242642156E-2</v>
      </c>
      <c r="AF44" s="113">
        <f t="shared" si="27"/>
        <v>0.13097143779722253</v>
      </c>
      <c r="AG44" s="113">
        <f t="shared" si="27"/>
        <v>0.17605875452847525</v>
      </c>
      <c r="AH44" s="113">
        <f t="shared" si="27"/>
        <v>0.22116602416290954</v>
      </c>
      <c r="AI44" s="113">
        <f t="shared" si="27"/>
        <v>0.26629340171452054</v>
      </c>
      <c r="AJ44" s="113">
        <f t="shared" si="27"/>
        <v>0.31144106116454312</v>
      </c>
      <c r="AK44" s="113">
        <f t="shared" si="27"/>
        <v>0.35660919623806264</v>
      </c>
      <c r="AL44" s="113">
        <f t="shared" si="27"/>
        <v>0.40179802128587444</v>
      </c>
      <c r="AM44" s="113">
        <f t="shared" si="27"/>
        <v>0.44700777228137134</v>
      </c>
      <c r="AN44" s="113">
        <f t="shared" si="27"/>
        <v>0.49223870794383029</v>
      </c>
      <c r="AO44" s="113">
        <f t="shared" si="27"/>
        <v>0.53749111100130309</v>
      </c>
      <c r="AP44" s="113">
        <f t="shared" si="27"/>
        <v>0.58276528960844509</v>
      </c>
      <c r="AQ44" s="113">
        <f t="shared" si="26"/>
        <v>0.62806157893709558</v>
      </c>
      <c r="AR44" s="113">
        <f t="shared" si="26"/>
        <v>-0.13913989568811369</v>
      </c>
      <c r="AS44" s="113">
        <f t="shared" si="26"/>
        <v>-0.1840904105569327</v>
      </c>
      <c r="AT44" s="113">
        <f t="shared" si="26"/>
        <v>-0.2290215938947405</v>
      </c>
      <c r="AU44" s="113">
        <f t="shared" si="26"/>
        <v>-0.27393345089221827</v>
      </c>
      <c r="AV44" s="113">
        <f t="shared" si="26"/>
        <v>-0.31882597108415739</v>
      </c>
      <c r="AW44" s="113">
        <f t="shared" si="26"/>
        <v>-0.36369912830701956</v>
      </c>
      <c r="AX44" s="113">
        <f t="shared" si="26"/>
        <v>-0.40855288059261174</v>
      </c>
      <c r="AY44" s="113">
        <f t="shared" si="26"/>
        <v>-0.4533871699968649</v>
      </c>
      <c r="AZ44" s="113">
        <f t="shared" si="26"/>
        <v>-0.49820192236207972</v>
      </c>
      <c r="BA44" s="113">
        <f t="shared" si="26"/>
        <v>-0.54299704701034834</v>
      </c>
      <c r="BB44" s="113">
        <f t="shared" si="26"/>
        <v>-0.5877724363651684</v>
      </c>
      <c r="BC44" s="113">
        <f t="shared" si="26"/>
        <v>-0.63252796549751589</v>
      </c>
      <c r="BD44" s="113">
        <f t="shared" si="26"/>
        <v>-0.67726349159183075</v>
      </c>
      <c r="BE44" s="113">
        <f t="shared" si="26"/>
        <v>-0.72197885332647393</v>
      </c>
      <c r="BF44" s="113">
        <f t="shared" ref="BF44:BI53" si="28">$M$5*BF$10+($O44*$R44*COS(PI()/180*$P44)-($O44^2*1^2-($O44*$R44*SIN(PI()/180*$P44)+$M$5*BF$10)^2)^0.5)*TAN(PI()/180*$D$6)</f>
        <v>-0.76667387016221</v>
      </c>
      <c r="BG44" s="113">
        <f t="shared" si="28"/>
        <v>-0.81134834153115054</v>
      </c>
      <c r="BH44" s="113">
        <f t="shared" si="28"/>
        <v>-0.85600204591732088</v>
      </c>
      <c r="BI44" s="113">
        <f t="shared" si="28"/>
        <v>-0.90063473981855502</v>
      </c>
    </row>
    <row r="45" spans="1:61">
      <c r="A45" s="113">
        <f t="shared" si="21"/>
        <v>2.319999999999999</v>
      </c>
      <c r="B45" s="110">
        <f t="shared" si="4"/>
        <v>0.63368731163406378</v>
      </c>
      <c r="C45" s="159">
        <f t="shared" si="25"/>
        <v>0.77408291951840036</v>
      </c>
      <c r="D45" s="113">
        <f t="shared" si="25"/>
        <v>6.7698957792604987E-3</v>
      </c>
      <c r="E45" s="113">
        <f t="shared" si="25"/>
        <v>1.898553205028782E-3</v>
      </c>
      <c r="F45" s="113">
        <f t="shared" si="25"/>
        <v>9.5159726603505478E-3</v>
      </c>
      <c r="G45" s="113">
        <f t="shared" si="25"/>
        <v>2.0324254575227983E-3</v>
      </c>
      <c r="H45" s="113">
        <f t="shared" si="25"/>
        <v>8.2293166516175472E-4</v>
      </c>
      <c r="I45" s="113"/>
      <c r="J45" s="113"/>
      <c r="K45" s="113">
        <f t="shared" si="6"/>
        <v>0.80951789047275668</v>
      </c>
      <c r="L45" s="107">
        <f t="shared" si="7"/>
        <v>0.79512269828572468</v>
      </c>
      <c r="M45" s="111">
        <f t="shared" si="8"/>
        <v>0.88236725209237232</v>
      </c>
      <c r="N45" s="113">
        <f t="shared" si="9"/>
        <v>1.4395192187032052E-2</v>
      </c>
      <c r="O45" s="114">
        <f t="shared" si="10"/>
        <v>2.7082695289567194</v>
      </c>
      <c r="P45" s="111">
        <f t="shared" si="11"/>
        <v>3.5008455912934071</v>
      </c>
      <c r="Q45" s="111">
        <v>1.524280000000001</v>
      </c>
      <c r="R45" s="107">
        <f t="shared" si="12"/>
        <v>1.5688055611030127</v>
      </c>
      <c r="S45" s="115">
        <v>0.90058636363636357</v>
      </c>
      <c r="T45" s="107">
        <f t="shared" si="20"/>
        <v>5.65</v>
      </c>
      <c r="U45" s="111">
        <f t="shared" si="13"/>
        <v>3.7032414778603755</v>
      </c>
      <c r="V45" s="111">
        <f t="shared" si="14"/>
        <v>3.6032414778603754</v>
      </c>
      <c r="W45" s="111">
        <f t="shared" si="15"/>
        <v>3.5008455912934071</v>
      </c>
      <c r="X45" s="111">
        <f t="shared" si="16"/>
        <v>6.4527840043462756</v>
      </c>
      <c r="Y45" s="115">
        <v>1.5680000000000003</v>
      </c>
      <c r="Z45" s="115">
        <v>0.4593192019702228</v>
      </c>
      <c r="AA45" s="113">
        <f t="shared" si="27"/>
        <v>-4.570716002949185E-3</v>
      </c>
      <c r="AB45" s="113">
        <f t="shared" si="27"/>
        <v>-4.9579127870968707E-2</v>
      </c>
      <c r="AC45" s="113">
        <f t="shared" si="27"/>
        <v>-9.4567908942734841E-2</v>
      </c>
      <c r="AD45" s="113">
        <f t="shared" si="27"/>
        <v>4.0457396436219865E-2</v>
      </c>
      <c r="AE45" s="113">
        <f t="shared" si="27"/>
        <v>8.5505296114398013E-2</v>
      </c>
      <c r="AF45" s="113">
        <f t="shared" si="27"/>
        <v>0.13057308695994285</v>
      </c>
      <c r="AG45" s="113">
        <f t="shared" si="27"/>
        <v>0.17566089060714996</v>
      </c>
      <c r="AH45" s="113">
        <f t="shared" si="27"/>
        <v>0.22076884692412319</v>
      </c>
      <c r="AI45" s="113">
        <f t="shared" si="27"/>
        <v>0.26589711462853005</v>
      </c>
      <c r="AJ45" s="113">
        <f t="shared" si="27"/>
        <v>0.31104587199772932</v>
      </c>
      <c r="AK45" s="113">
        <f t="shared" si="27"/>
        <v>0.35621531768091891</v>
      </c>
      <c r="AL45" s="113">
        <f t="shared" si="27"/>
        <v>0.40140567162226237</v>
      </c>
      <c r="AM45" s="113">
        <f t="shared" si="27"/>
        <v>0.44661717610544821</v>
      </c>
      <c r="AN45" s="113">
        <f t="shared" si="27"/>
        <v>0.49185009693185611</v>
      </c>
      <c r="AO45" s="113">
        <f t="shared" si="27"/>
        <v>0.5371047247464853</v>
      </c>
      <c r="AP45" s="113">
        <f t="shared" si="27"/>
        <v>0.58238137652810806</v>
      </c>
      <c r="AQ45" s="113">
        <f t="shared" si="26"/>
        <v>0.62768039726280567</v>
      </c>
      <c r="AR45" s="113">
        <f t="shared" si="26"/>
        <v>-0.13953711239348868</v>
      </c>
      <c r="AS45" s="113">
        <f t="shared" si="26"/>
        <v>-0.18448677502079908</v>
      </c>
      <c r="AT45" s="113">
        <f t="shared" si="26"/>
        <v>-0.22941691739739423</v>
      </c>
      <c r="AU45" s="113">
        <f t="shared" si="26"/>
        <v>-0.2743275439563278</v>
      </c>
      <c r="AV45" s="113">
        <f t="shared" si="26"/>
        <v>-0.31921864300930503</v>
      </c>
      <c r="AW45" s="113">
        <f t="shared" si="26"/>
        <v>-0.36409018669834431</v>
      </c>
      <c r="AX45" s="113">
        <f t="shared" si="26"/>
        <v>-0.40894213088030862</v>
      </c>
      <c r="AY45" s="113">
        <f t="shared" si="26"/>
        <v>-0.45377441494318616</v>
      </c>
      <c r="AZ45" s="113">
        <f t="shared" si="26"/>
        <v>-0.49858696155232829</v>
      </c>
      <c r="BA45" s="113">
        <f t="shared" si="26"/>
        <v>-0.54337967632414985</v>
      </c>
      <c r="BB45" s="113">
        <f t="shared" si="26"/>
        <v>-0.58815244742404738</v>
      </c>
      <c r="BC45" s="113">
        <f t="shared" si="26"/>
        <v>-0.63290514508448703</v>
      </c>
      <c r="BD45" s="113">
        <f t="shared" si="26"/>
        <v>-0.67763762103832603</v>
      </c>
      <c r="BE45" s="113">
        <f t="shared" si="26"/>
        <v>-0.72234970786146768</v>
      </c>
      <c r="BF45" s="113">
        <f t="shared" si="28"/>
        <v>-0.76704121821785387</v>
      </c>
      <c r="BG45" s="113">
        <f t="shared" si="28"/>
        <v>-0.81171194399857927</v>
      </c>
      <c r="BH45" s="113">
        <f t="shared" si="28"/>
        <v>-0.85636165534552189</v>
      </c>
      <c r="BI45" s="113">
        <f t="shared" si="28"/>
        <v>-0.90099009954828935</v>
      </c>
    </row>
    <row r="46" spans="1:61">
      <c r="A46" s="113">
        <f t="shared" si="21"/>
        <v>2.3424999999999989</v>
      </c>
      <c r="B46" s="110">
        <f t="shared" si="4"/>
        <v>0.63983298599258376</v>
      </c>
      <c r="C46" s="159">
        <f t="shared" si="25"/>
        <v>0.76936349135655324</v>
      </c>
      <c r="D46" s="113">
        <f t="shared" si="25"/>
        <v>7.7856723757508328E-3</v>
      </c>
      <c r="E46" s="113">
        <f t="shared" si="25"/>
        <v>2.195696727487549E-3</v>
      </c>
      <c r="F46" s="113">
        <f t="shared" si="25"/>
        <v>1.1400399964790585E-2</v>
      </c>
      <c r="G46" s="113">
        <f t="shared" si="25"/>
        <v>2.4198266201380597E-3</v>
      </c>
      <c r="H46" s="113">
        <f t="shared" si="25"/>
        <v>9.8155152189266428E-4</v>
      </c>
      <c r="I46" s="113"/>
      <c r="J46" s="113"/>
      <c r="K46" s="113">
        <f t="shared" si="6"/>
        <v>0.80853092208318744</v>
      </c>
      <c r="L46" s="107">
        <f t="shared" si="7"/>
        <v>0.79414663856661283</v>
      </c>
      <c r="M46" s="111">
        <f t="shared" si="8"/>
        <v>0.88237313170385934</v>
      </c>
      <c r="N46" s="113">
        <f t="shared" si="9"/>
        <v>1.4384283516574579E-2</v>
      </c>
      <c r="O46" s="114">
        <f t="shared" si="10"/>
        <v>2.6822562677394193</v>
      </c>
      <c r="P46" s="111">
        <f t="shared" si="11"/>
        <v>3.5009220823038825</v>
      </c>
      <c r="Q46" s="111">
        <v>1.524280000000001</v>
      </c>
      <c r="R46" s="107">
        <f t="shared" si="12"/>
        <v>1.5687713272220807</v>
      </c>
      <c r="S46" s="115">
        <v>0.90058636363636357</v>
      </c>
      <c r="T46" s="107">
        <f t="shared" si="20"/>
        <v>5.65</v>
      </c>
      <c r="U46" s="111">
        <f t="shared" si="13"/>
        <v>3.7032414778603755</v>
      </c>
      <c r="V46" s="111">
        <f t="shared" si="14"/>
        <v>3.6032414778603754</v>
      </c>
      <c r="W46" s="111">
        <f t="shared" si="15"/>
        <v>3.5009220823038825</v>
      </c>
      <c r="X46" s="111">
        <f t="shared" si="16"/>
        <v>6.462060314531084</v>
      </c>
      <c r="Y46" s="115">
        <v>1.5680000000000003</v>
      </c>
      <c r="Z46" s="115">
        <v>0.4593192019702228</v>
      </c>
      <c r="AA46" s="113">
        <f t="shared" si="27"/>
        <v>-4.961627597996246E-3</v>
      </c>
      <c r="AB46" s="113">
        <f t="shared" si="27"/>
        <v>-4.9969753485560257E-2</v>
      </c>
      <c r="AC46" s="113">
        <f t="shared" si="27"/>
        <v>-9.4958059364768088E-2</v>
      </c>
      <c r="AD46" s="113">
        <f t="shared" si="27"/>
        <v>4.0066389185347849E-2</v>
      </c>
      <c r="AE46" s="113">
        <f t="shared" si="27"/>
        <v>8.511438513809752E-2</v>
      </c>
      <c r="AF46" s="113">
        <f t="shared" si="27"/>
        <v>0.13018246630171385</v>
      </c>
      <c r="AG46" s="113">
        <f t="shared" si="27"/>
        <v>0.17527075694888891</v>
      </c>
      <c r="AH46" s="113">
        <f t="shared" si="27"/>
        <v>0.22037940013350252</v>
      </c>
      <c r="AI46" s="113">
        <f t="shared" si="27"/>
        <v>0.26550855833293535</v>
      </c>
      <c r="AJ46" s="113">
        <f t="shared" si="27"/>
        <v>0.31065841418964246</v>
      </c>
      <c r="AK46" s="113">
        <f t="shared" si="27"/>
        <v>0.35582917136013503</v>
      </c>
      <c r="AL46" s="113">
        <f t="shared" si="27"/>
        <v>0.40102105548092992</v>
      </c>
      <c r="AM46" s="113">
        <f t="shared" si="27"/>
        <v>0.44623431526263568</v>
      </c>
      <c r="AN46" s="113">
        <f t="shared" si="27"/>
        <v>0.49146922372520102</v>
      </c>
      <c r="AO46" s="113">
        <f t="shared" si="27"/>
        <v>0.53672607958949159</v>
      </c>
      <c r="AP46" s="113">
        <f t="shared" si="27"/>
        <v>0.582005208842861</v>
      </c>
      <c r="AQ46" s="113">
        <f t="shared" si="26"/>
        <v>0.62730696649930551</v>
      </c>
      <c r="AR46" s="113">
        <f t="shared" si="26"/>
        <v>-0.13992659904060933</v>
      </c>
      <c r="AS46" s="113">
        <f t="shared" si="26"/>
        <v>-0.18487540946460237</v>
      </c>
      <c r="AT46" s="113">
        <f t="shared" si="26"/>
        <v>-0.22980451089123896</v>
      </c>
      <c r="AU46" s="113">
        <f t="shared" si="26"/>
        <v>-0.27471390696346137</v>
      </c>
      <c r="AV46" s="113">
        <f t="shared" si="26"/>
        <v>-0.31960358472801548</v>
      </c>
      <c r="AW46" s="113">
        <f t="shared" si="26"/>
        <v>-0.36447351458083088</v>
      </c>
      <c r="AX46" s="113">
        <f t="shared" si="26"/>
        <v>-0.40932365014189009</v>
      </c>
      <c r="AY46" s="113">
        <f t="shared" si="26"/>
        <v>-0.4541539280583487</v>
      </c>
      <c r="AZ46" s="113">
        <f t="shared" si="26"/>
        <v>-0.49896426773394809</v>
      </c>
      <c r="BA46" s="113">
        <f t="shared" si="26"/>
        <v>-0.5437545709820053</v>
      </c>
      <c r="BB46" s="113">
        <f t="shared" si="26"/>
        <v>-0.5885247215984577</v>
      </c>
      <c r="BC46" s="113">
        <f t="shared" si="26"/>
        <v>-0.6332745848505732</v>
      </c>
      <c r="BD46" s="113">
        <f t="shared" si="26"/>
        <v>-0.67800400687597495</v>
      </c>
      <c r="BE46" s="113">
        <f t="shared" si="26"/>
        <v>-0.72271281398558507</v>
      </c>
      <c r="BF46" s="113">
        <f t="shared" si="28"/>
        <v>-0.76740081186289966</v>
      </c>
      <c r="BG46" s="113">
        <f t="shared" si="28"/>
        <v>-0.81206778465068086</v>
      </c>
      <c r="BH46" s="113">
        <f t="shared" si="28"/>
        <v>-0.85671349391462903</v>
      </c>
      <c r="BI46" s="113">
        <f t="shared" si="28"/>
        <v>-0.90133767747185856</v>
      </c>
    </row>
    <row r="47" spans="1:61">
      <c r="A47" s="113">
        <f t="shared" si="21"/>
        <v>2.3649999999999989</v>
      </c>
      <c r="B47" s="110">
        <f t="shared" si="4"/>
        <v>0.64597866035110374</v>
      </c>
      <c r="C47" s="159">
        <f t="shared" si="25"/>
        <v>0.76438382802098936</v>
      </c>
      <c r="D47" s="113">
        <f t="shared" si="25"/>
        <v>8.8220720337816704E-3</v>
      </c>
      <c r="E47" s="113">
        <f t="shared" si="25"/>
        <v>2.5021090546762412E-3</v>
      </c>
      <c r="F47" s="113">
        <f t="shared" si="25"/>
        <v>1.3436692667101829E-2</v>
      </c>
      <c r="G47" s="113">
        <f t="shared" si="25"/>
        <v>2.8327016078540691E-3</v>
      </c>
      <c r="H47" s="113">
        <f t="shared" si="25"/>
        <v>1.1501983050221539E-3</v>
      </c>
      <c r="I47" s="113"/>
      <c r="J47" s="113"/>
      <c r="K47" s="113">
        <f t="shared" si="6"/>
        <v>0.80750128277908939</v>
      </c>
      <c r="L47" s="107">
        <f t="shared" si="7"/>
        <v>0.79312760168942542</v>
      </c>
      <c r="M47" s="111">
        <f t="shared" si="8"/>
        <v>0.8823788462425306</v>
      </c>
      <c r="N47" s="113">
        <f t="shared" si="9"/>
        <v>1.4373681089663934E-2</v>
      </c>
      <c r="O47" s="114">
        <f t="shared" si="10"/>
        <v>2.6567379734374583</v>
      </c>
      <c r="P47" s="111">
        <f t="shared" si="11"/>
        <v>3.5009964275336185</v>
      </c>
      <c r="Q47" s="111">
        <v>1.524280000000001</v>
      </c>
      <c r="R47" s="107">
        <f t="shared" si="12"/>
        <v>1.5687380551289978</v>
      </c>
      <c r="S47" s="115">
        <v>0.90058636363636357</v>
      </c>
      <c r="T47" s="107">
        <f t="shared" si="20"/>
        <v>5.65</v>
      </c>
      <c r="U47" s="111">
        <f t="shared" si="13"/>
        <v>3.7032414778603755</v>
      </c>
      <c r="V47" s="111">
        <f t="shared" si="14"/>
        <v>3.6032414778603754</v>
      </c>
      <c r="W47" s="111">
        <f t="shared" si="15"/>
        <v>3.5009964275336185</v>
      </c>
      <c r="X47" s="111">
        <f t="shared" si="16"/>
        <v>6.4713367948264091</v>
      </c>
      <c r="Y47" s="115">
        <v>1.5680000000000003</v>
      </c>
      <c r="Z47" s="115">
        <v>0.4593192019702228</v>
      </c>
      <c r="AA47" s="113">
        <f t="shared" si="27"/>
        <v>-5.3450322756982693E-3</v>
      </c>
      <c r="AB47" s="113">
        <f t="shared" si="27"/>
        <v>-5.0352872197664281E-2</v>
      </c>
      <c r="AC47" s="113">
        <f t="shared" si="27"/>
        <v>-9.5340702915089642E-2</v>
      </c>
      <c r="AD47" s="113">
        <f t="shared" si="27"/>
        <v>3.9682888854399682E-2</v>
      </c>
      <c r="AE47" s="113">
        <f t="shared" si="27"/>
        <v>8.4730981085119075E-2</v>
      </c>
      <c r="AF47" s="113">
        <f t="shared" si="27"/>
        <v>0.1297993525939756</v>
      </c>
      <c r="AG47" s="113">
        <f t="shared" si="27"/>
        <v>0.17488813032540779</v>
      </c>
      <c r="AH47" s="113">
        <f t="shared" si="27"/>
        <v>0.21999746056353101</v>
      </c>
      <c r="AI47" s="113">
        <f t="shared" si="27"/>
        <v>0.26512750960190307</v>
      </c>
      <c r="AJ47" s="113">
        <f t="shared" si="27"/>
        <v>0.31027846451764285</v>
      </c>
      <c r="AK47" s="113">
        <f t="shared" si="27"/>
        <v>0.35545053405857968</v>
      </c>
      <c r="AL47" s="113">
        <f t="shared" si="27"/>
        <v>0.40064394965362687</v>
      </c>
      <c r="AM47" s="113">
        <f t="shared" si="27"/>
        <v>0.44585896655830737</v>
      </c>
      <c r="AN47" s="113">
        <f t="shared" si="27"/>
        <v>0.4910958651493576</v>
      </c>
      <c r="AO47" s="113">
        <f t="shared" si="27"/>
        <v>0.53635495238465258</v>
      </c>
      <c r="AP47" s="113">
        <f t="shared" si="27"/>
        <v>0.58163656344739723</v>
      </c>
      <c r="AQ47" s="113">
        <f t="shared" si="26"/>
        <v>0.62694106359669932</v>
      </c>
      <c r="AR47" s="113">
        <f t="shared" si="26"/>
        <v>-0.14030857885714718</v>
      </c>
      <c r="AS47" s="113">
        <f t="shared" si="26"/>
        <v>-0.18525653711465428</v>
      </c>
      <c r="AT47" s="113">
        <f t="shared" si="26"/>
        <v>-0.23018459760012094</v>
      </c>
      <c r="AU47" s="113">
        <f t="shared" si="26"/>
        <v>-0.27509276313339992</v>
      </c>
      <c r="AV47" s="113">
        <f t="shared" si="26"/>
        <v>-0.31998101945380059</v>
      </c>
      <c r="AW47" s="113">
        <f t="shared" si="26"/>
        <v>-0.36484933515878737</v>
      </c>
      <c r="AX47" s="113">
        <f t="shared" si="26"/>
        <v>-0.40969766156864817</v>
      </c>
      <c r="AY47" s="113">
        <f t="shared" si="26"/>
        <v>-0.45452593251576662</v>
      </c>
      <c r="AZ47" s="113">
        <f t="shared" si="26"/>
        <v>-0.49933406405635994</v>
      </c>
      <c r="BA47" s="113">
        <f t="shared" si="26"/>
        <v>-0.54412195410173136</v>
      </c>
      <c r="BB47" s="113">
        <f t="shared" si="26"/>
        <v>-0.58888948196521806</v>
      </c>
      <c r="BC47" s="113">
        <f t="shared" si="26"/>
        <v>-0.63363650782007441</v>
      </c>
      <c r="BD47" s="113">
        <f t="shared" si="26"/>
        <v>-0.67836287206250223</v>
      </c>
      <c r="BE47" s="113">
        <f t="shared" si="26"/>
        <v>-0.72306839457289185</v>
      </c>
      <c r="BF47" s="113">
        <f t="shared" si="28"/>
        <v>-0.76775287386705804</v>
      </c>
      <c r="BG47" s="113">
        <f t="shared" si="28"/>
        <v>-0.81241608612779836</v>
      </c>
      <c r="BH47" s="113">
        <f t="shared" si="28"/>
        <v>-0.85705778410544675</v>
      </c>
      <c r="BI47" s="113">
        <f t="shared" si="28"/>
        <v>-0.90167769587418767</v>
      </c>
    </row>
    <row r="48" spans="1:61">
      <c r="A48" s="113">
        <f t="shared" si="21"/>
        <v>2.3874999999999988</v>
      </c>
      <c r="B48" s="110">
        <f t="shared" si="4"/>
        <v>0.65212433470962383</v>
      </c>
      <c r="C48" s="159">
        <f t="shared" si="25"/>
        <v>0.75916675443930282</v>
      </c>
      <c r="D48" s="113">
        <f t="shared" si="25"/>
        <v>9.872127389448513E-3</v>
      </c>
      <c r="E48" s="113">
        <f t="shared" si="25"/>
        <v>2.8158352286553313E-3</v>
      </c>
      <c r="F48" s="113">
        <f t="shared" si="25"/>
        <v>1.5619664746702322E-2</v>
      </c>
      <c r="G48" s="113">
        <f t="shared" si="25"/>
        <v>3.2691136073599932E-3</v>
      </c>
      <c r="H48" s="113">
        <f t="shared" si="25"/>
        <v>1.3279756981263782E-3</v>
      </c>
      <c r="I48" s="113"/>
      <c r="J48" s="113"/>
      <c r="K48" s="113">
        <f t="shared" si="6"/>
        <v>0.80643484469336857</v>
      </c>
      <c r="L48" s="107">
        <f t="shared" si="7"/>
        <v>0.79207147110959542</v>
      </c>
      <c r="M48" s="111">
        <f t="shared" si="8"/>
        <v>0.88238440181206146</v>
      </c>
      <c r="N48" s="113">
        <f t="shared" si="9"/>
        <v>1.4363373583773181E-2</v>
      </c>
      <c r="O48" s="114">
        <f t="shared" si="10"/>
        <v>2.6317006522218174</v>
      </c>
      <c r="P48" s="111">
        <f t="shared" si="11"/>
        <v>3.5010687062445762</v>
      </c>
      <c r="Q48" s="111">
        <v>1.524280000000001</v>
      </c>
      <c r="R48" s="107">
        <f t="shared" si="12"/>
        <v>1.5687057092309569</v>
      </c>
      <c r="S48" s="115">
        <v>0.90058636363636357</v>
      </c>
      <c r="T48" s="107">
        <f t="shared" si="20"/>
        <v>5.65</v>
      </c>
      <c r="U48" s="111">
        <f t="shared" si="13"/>
        <v>3.7032414778603755</v>
      </c>
      <c r="V48" s="111">
        <f t="shared" si="14"/>
        <v>3.6032414778603754</v>
      </c>
      <c r="W48" s="111">
        <f t="shared" si="15"/>
        <v>3.5010687062445762</v>
      </c>
      <c r="X48" s="111">
        <f t="shared" si="16"/>
        <v>6.4806134454847921</v>
      </c>
      <c r="Y48" s="115">
        <v>1.5680000000000003</v>
      </c>
      <c r="Z48" s="115">
        <v>0.4593192019702228</v>
      </c>
      <c r="AA48" s="113">
        <f t="shared" si="27"/>
        <v>-5.7211447309737651E-3</v>
      </c>
      <c r="AB48" s="113">
        <f t="shared" si="27"/>
        <v>-5.0728698702142229E-2</v>
      </c>
      <c r="AC48" s="113">
        <f t="shared" si="27"/>
        <v>-9.5716054288317254E-2</v>
      </c>
      <c r="AD48" s="113">
        <f t="shared" si="27"/>
        <v>3.9306680748452977E-2</v>
      </c>
      <c r="AE48" s="113">
        <f t="shared" si="27"/>
        <v>8.4354869260544335E-2</v>
      </c>
      <c r="AF48" s="113">
        <f t="shared" si="27"/>
        <v>0.1294235311418715</v>
      </c>
      <c r="AG48" s="113">
        <f t="shared" si="27"/>
        <v>0.17451279604212561</v>
      </c>
      <c r="AH48" s="113">
        <f t="shared" si="27"/>
        <v>0.2196228135203967</v>
      </c>
      <c r="AI48" s="113">
        <f t="shared" si="27"/>
        <v>0.26475375374330751</v>
      </c>
      <c r="AJ48" s="113">
        <f t="shared" si="27"/>
        <v>0.30990580829280617</v>
      </c>
      <c r="AK48" s="113">
        <f t="shared" si="27"/>
        <v>0.35507919109285346</v>
      </c>
      <c r="AL48" s="113">
        <f t="shared" si="27"/>
        <v>0.40027413946586876</v>
      </c>
      <c r="AM48" s="113">
        <f t="shared" si="27"/>
        <v>0.44549091533166507</v>
      </c>
      <c r="AN48" s="113">
        <f t="shared" si="27"/>
        <v>0.49072980656375603</v>
      </c>
      <c r="AO48" s="113">
        <f t="shared" si="27"/>
        <v>0.53599112852041986</v>
      </c>
      <c r="AP48" s="113">
        <f t="shared" si="27"/>
        <v>0.58127522577082669</v>
      </c>
      <c r="AQ48" s="113">
        <f t="shared" si="26"/>
        <v>0.62658247403997236</v>
      </c>
      <c r="AR48" s="113">
        <f t="shared" si="26"/>
        <v>-0.14068326653707081</v>
      </c>
      <c r="AS48" s="113">
        <f t="shared" si="26"/>
        <v>-0.18563037266356394</v>
      </c>
      <c r="AT48" s="113">
        <f t="shared" si="26"/>
        <v>-0.23055739221418384</v>
      </c>
      <c r="AU48" s="113">
        <f t="shared" si="26"/>
        <v>-0.27546432715222108</v>
      </c>
      <c r="AV48" s="113">
        <f t="shared" si="26"/>
        <v>-0.32035116186646517</v>
      </c>
      <c r="AW48" s="113">
        <f t="shared" si="26"/>
        <v>-0.3652178631028058</v>
      </c>
      <c r="AX48" s="113">
        <f t="shared" si="26"/>
        <v>-0.41006437981814015</v>
      </c>
      <c r="AY48" s="113">
        <f t="shared" si="26"/>
        <v>-0.45489064295508308</v>
      </c>
      <c r="AZ48" s="113">
        <f t="shared" si="26"/>
        <v>-0.49969656513514937</v>
      </c>
      <c r="BA48" s="113">
        <f t="shared" si="26"/>
        <v>-0.54448204026720293</v>
      </c>
      <c r="BB48" s="113">
        <f t="shared" si="26"/>
        <v>-0.58924694306703407</v>
      </c>
      <c r="BC48" s="113">
        <f t="shared" si="26"/>
        <v>-0.63399112848291472</v>
      </c>
      <c r="BD48" s="113">
        <f t="shared" si="26"/>
        <v>-0.67871443102086171</v>
      </c>
      <c r="BE48" s="113">
        <f t="shared" si="26"/>
        <v>-0.72341666396210547</v>
      </c>
      <c r="BF48" s="113">
        <f t="shared" si="28"/>
        <v>-0.76809761846386204</v>
      </c>
      <c r="BG48" s="113">
        <f t="shared" si="28"/>
        <v>-0.81275706253292723</v>
      </c>
      <c r="BH48" s="113">
        <f t="shared" si="28"/>
        <v>-0.8573947398598043</v>
      </c>
      <c r="BI48" s="113">
        <f t="shared" si="28"/>
        <v>-0.90201036849898886</v>
      </c>
    </row>
    <row r="49" spans="1:61" ht="14" thickBot="1">
      <c r="A49" s="113">
        <f t="shared" si="21"/>
        <v>2.4099999999999988</v>
      </c>
      <c r="B49" s="110">
        <f t="shared" si="4"/>
        <v>0.65827000906814381</v>
      </c>
      <c r="C49" s="160">
        <f t="shared" si="25"/>
        <v>0.75373379877833058</v>
      </c>
      <c r="D49" s="113">
        <f t="shared" si="25"/>
        <v>1.0929664136782081E-2</v>
      </c>
      <c r="E49" s="113">
        <f t="shared" si="25"/>
        <v>3.1350914964707317E-3</v>
      </c>
      <c r="F49" s="113">
        <f t="shared" si="25"/>
        <v>1.7944025141867274E-2</v>
      </c>
      <c r="G49" s="113">
        <f t="shared" si="25"/>
        <v>3.7271718479707384E-3</v>
      </c>
      <c r="H49" s="113">
        <f t="shared" si="25"/>
        <v>1.5140181813180803E-3</v>
      </c>
      <c r="I49" s="113"/>
      <c r="J49" s="113"/>
      <c r="K49" s="113">
        <f t="shared" si="6"/>
        <v>0.80533711977600064</v>
      </c>
      <c r="L49" s="107">
        <f t="shared" si="7"/>
        <v>0.79098376958273964</v>
      </c>
      <c r="M49" s="111">
        <f t="shared" si="8"/>
        <v>0.88238980423745783</v>
      </c>
      <c r="N49" s="113">
        <f t="shared" si="9"/>
        <v>1.4353350193260962E-2</v>
      </c>
      <c r="O49" s="114">
        <f t="shared" si="10"/>
        <v>2.6071308328546015</v>
      </c>
      <c r="P49" s="111">
        <f t="shared" si="11"/>
        <v>3.5011389940842674</v>
      </c>
      <c r="Q49" s="111">
        <v>1.524280000000001</v>
      </c>
      <c r="R49" s="107">
        <f t="shared" si="12"/>
        <v>1.5686742555618165</v>
      </c>
      <c r="S49" s="115">
        <v>0.90058636363636357</v>
      </c>
      <c r="T49" s="107">
        <f t="shared" si="20"/>
        <v>5.65</v>
      </c>
      <c r="U49" s="111">
        <f t="shared" si="13"/>
        <v>3.7032414778603755</v>
      </c>
      <c r="V49" s="111">
        <f t="shared" si="14"/>
        <v>3.6032414778603754</v>
      </c>
      <c r="W49" s="111">
        <f t="shared" si="15"/>
        <v>3.5011389940842674</v>
      </c>
      <c r="X49" s="111">
        <f t="shared" si="16"/>
        <v>6.4898902667588176</v>
      </c>
      <c r="Y49" s="115">
        <v>1.5680000000000003</v>
      </c>
      <c r="Z49" s="115">
        <v>0.4593192019702228</v>
      </c>
      <c r="AA49" s="113">
        <f t="shared" si="27"/>
        <v>-6.0901715298294079E-3</v>
      </c>
      <c r="AB49" s="113">
        <f t="shared" si="27"/>
        <v>-5.1097439564943767E-2</v>
      </c>
      <c r="AC49" s="113">
        <f t="shared" si="27"/>
        <v>-9.6084320050156921E-2</v>
      </c>
      <c r="AD49" s="113">
        <f t="shared" si="27"/>
        <v>3.8937558301497213E-2</v>
      </c>
      <c r="AE49" s="113">
        <f t="shared" si="27"/>
        <v>8.3985843098366791E-2</v>
      </c>
      <c r="AF49" s="113">
        <f t="shared" si="27"/>
        <v>0.12905479537945674</v>
      </c>
      <c r="AG49" s="113">
        <f t="shared" si="27"/>
        <v>0.17414454753337366</v>
      </c>
      <c r="AH49" s="113">
        <f t="shared" si="27"/>
        <v>0.21925525243920074</v>
      </c>
      <c r="AI49" s="113">
        <f t="shared" si="27"/>
        <v>0.26438708419393903</v>
      </c>
      <c r="AJ49" s="113">
        <f t="shared" si="27"/>
        <v>0.30954023895513194</v>
      </c>
      <c r="AK49" s="113">
        <f t="shared" si="27"/>
        <v>0.35471493590849812</v>
      </c>
      <c r="AL49" s="113">
        <f t="shared" si="27"/>
        <v>0.39991141837214605</v>
      </c>
      <c r="AM49" s="113">
        <f t="shared" si="27"/>
        <v>0.44512995505094849</v>
      </c>
      <c r="AN49" s="113">
        <f t="shared" si="27"/>
        <v>0.49037084145697496</v>
      </c>
      <c r="AO49" s="113">
        <f t="shared" si="27"/>
        <v>0.53563440151457875</v>
      </c>
      <c r="AP49" s="113">
        <f t="shared" si="27"/>
        <v>0.58092098937189318</v>
      </c>
      <c r="AQ49" s="113">
        <f t="shared" si="26"/>
        <v>0.62623099144421424</v>
      </c>
      <c r="AR49" s="113">
        <f t="shared" si="26"/>
        <v>-0.14105086864543728</v>
      </c>
      <c r="AS49" s="113">
        <f t="shared" si="26"/>
        <v>-0.18599712267502919</v>
      </c>
      <c r="AT49" s="113">
        <f t="shared" si="26"/>
        <v>-0.23092310129466004</v>
      </c>
      <c r="AU49" s="113">
        <f t="shared" si="26"/>
        <v>-0.27582880557709011</v>
      </c>
      <c r="AV49" s="113">
        <f t="shared" si="26"/>
        <v>-0.32071421851689824</v>
      </c>
      <c r="AW49" s="113">
        <f t="shared" si="26"/>
        <v>-0.36557930495455332</v>
      </c>
      <c r="AX49" s="113">
        <f t="shared" si="26"/>
        <v>-0.41042401141897861</v>
      </c>
      <c r="AY49" s="113">
        <f t="shared" si="26"/>
        <v>-0.45524826588695949</v>
      </c>
      <c r="AZ49" s="113">
        <f t="shared" si="26"/>
        <v>-0.50005197745685526</v>
      </c>
      <c r="BA49" s="113">
        <f t="shared" si="26"/>
        <v>-0.54483503593313842</v>
      </c>
      <c r="BB49" s="113">
        <f t="shared" si="26"/>
        <v>-0.58959731131728155</v>
      </c>
      <c r="BC49" s="113">
        <f t="shared" si="26"/>
        <v>-0.63433865319941929</v>
      </c>
      <c r="BD49" s="113">
        <f t="shared" si="26"/>
        <v>-0.6790588900440061</v>
      </c>
      <c r="BE49" s="113">
        <f t="shared" si="26"/>
        <v>-0.7237578283613525</v>
      </c>
      <c r="BF49" s="113">
        <f t="shared" si="28"/>
        <v>-0.76843525175540717</v>
      </c>
      <c r="BG49" s="113">
        <f t="shared" si="28"/>
        <v>-0.81309091983643011</v>
      </c>
      <c r="BH49" s="113">
        <f t="shared" si="28"/>
        <v>-0.85772456698523403</v>
      </c>
      <c r="BI49" s="113">
        <f t="shared" si="28"/>
        <v>-0.90233590095338745</v>
      </c>
    </row>
    <row r="50" spans="1:61">
      <c r="A50" s="113">
        <f t="shared" si="21"/>
        <v>2.4324999999999988</v>
      </c>
      <c r="B50" s="110">
        <f t="shared" si="4"/>
        <v>0.66441568342666379</v>
      </c>
      <c r="C50" s="113">
        <f t="shared" si="25"/>
        <v>0.74810524382264387</v>
      </c>
      <c r="D50" s="113">
        <f t="shared" si="25"/>
        <v>1.1989227865083685E-2</v>
      </c>
      <c r="E50" s="113">
        <f t="shared" si="25"/>
        <v>3.4582548567321206E-3</v>
      </c>
      <c r="F50" s="113">
        <f t="shared" si="25"/>
        <v>2.0404410488036276E-2</v>
      </c>
      <c r="G50" s="113">
        <f t="shared" si="25"/>
        <v>4.2050372898857716E-3</v>
      </c>
      <c r="H50" s="113">
        <f t="shared" si="25"/>
        <v>1.7074927782399767E-3</v>
      </c>
      <c r="I50" s="113"/>
      <c r="J50" s="113"/>
      <c r="K50" s="113">
        <f t="shared" si="6"/>
        <v>0.80421326770202273</v>
      </c>
      <c r="L50" s="107">
        <f t="shared" si="7"/>
        <v>0.78986966710062179</v>
      </c>
      <c r="M50" s="111">
        <f t="shared" si="8"/>
        <v>0.8823950590801376</v>
      </c>
      <c r="N50" s="113">
        <f t="shared" si="9"/>
        <v>1.4343600601400995E-2</v>
      </c>
      <c r="O50" s="114">
        <f t="shared" si="10"/>
        <v>2.5830155425198722</v>
      </c>
      <c r="P50" s="111">
        <f t="shared" si="11"/>
        <v>3.5012073632810949</v>
      </c>
      <c r="Q50" s="111">
        <v>1.524280000000001</v>
      </c>
      <c r="R50" s="107">
        <f t="shared" si="12"/>
        <v>1.5686436616939619</v>
      </c>
      <c r="S50" s="115">
        <v>0.90058636363636357</v>
      </c>
      <c r="T50" s="107">
        <f t="shared" si="20"/>
        <v>5.65</v>
      </c>
      <c r="U50" s="111">
        <f t="shared" si="13"/>
        <v>3.7032414778603755</v>
      </c>
      <c r="V50" s="111">
        <f t="shared" si="14"/>
        <v>3.6032414778603754</v>
      </c>
      <c r="W50" s="111">
        <f t="shared" si="15"/>
        <v>3.5012073632810949</v>
      </c>
      <c r="X50" s="111">
        <f t="shared" si="16"/>
        <v>6.4991672589011005</v>
      </c>
      <c r="Y50" s="115">
        <v>1.5680000000000003</v>
      </c>
      <c r="Z50" s="115">
        <v>0.4593192019702228</v>
      </c>
      <c r="AA50" s="113">
        <f t="shared" si="27"/>
        <v>-6.452311491284328E-3</v>
      </c>
      <c r="AB50" s="113">
        <f t="shared" si="27"/>
        <v>-5.1459293605030994E-2</v>
      </c>
      <c r="AC50" s="113">
        <f t="shared" si="27"/>
        <v>-9.6445699019327216E-2</v>
      </c>
      <c r="AD50" s="113">
        <f t="shared" si="27"/>
        <v>3.8575322694509376E-2</v>
      </c>
      <c r="AE50" s="113">
        <f t="shared" si="27"/>
        <v>8.3623703779567432E-2</v>
      </c>
      <c r="AF50" s="113">
        <f t="shared" si="27"/>
        <v>0.12869294648777413</v>
      </c>
      <c r="AG50" s="113">
        <f t="shared" si="27"/>
        <v>0.17378318598047088</v>
      </c>
      <c r="AH50" s="113">
        <f t="shared" si="27"/>
        <v>0.21889457850203309</v>
      </c>
      <c r="AI50" s="113">
        <f t="shared" si="27"/>
        <v>0.26402730213758002</v>
      </c>
      <c r="AJ50" s="113">
        <f t="shared" si="27"/>
        <v>0.30918155769161937</v>
      </c>
      <c r="AK50" s="113">
        <f t="shared" si="27"/>
        <v>0.35435756969807219</v>
      </c>
      <c r="AL50" s="113">
        <f t="shared" si="27"/>
        <v>0.39955558757400028</v>
      </c>
      <c r="AM50" s="113">
        <f t="shared" si="27"/>
        <v>0.44477588693151204</v>
      </c>
      <c r="AN50" s="113">
        <f t="shared" si="27"/>
        <v>0.4900187710648195</v>
      </c>
      <c r="AO50" s="113">
        <f t="shared" si="27"/>
        <v>0.53528457263232876</v>
      </c>
      <c r="AP50" s="113">
        <f t="shared" si="27"/>
        <v>0.58057365555705842</v>
      </c>
      <c r="AQ50" s="113">
        <f t="shared" si="26"/>
        <v>0.62588641717271043</v>
      </c>
      <c r="AR50" s="113">
        <f t="shared" si="26"/>
        <v>-0.14141158400031642</v>
      </c>
      <c r="AS50" s="113">
        <f t="shared" si="26"/>
        <v>-0.18635698596576089</v>
      </c>
      <c r="AT50" s="113">
        <f t="shared" si="26"/>
        <v>-0.231281923655795</v>
      </c>
      <c r="AU50" s="113">
        <f t="shared" si="26"/>
        <v>-0.27618639721818433</v>
      </c>
      <c r="AV50" s="113">
        <f t="shared" si="26"/>
        <v>-0.32107038820899725</v>
      </c>
      <c r="AW50" s="113">
        <f t="shared" si="26"/>
        <v>-0.36593385950869595</v>
      </c>
      <c r="AX50" s="113">
        <f t="shared" si="26"/>
        <v>-0.41077675515275508</v>
      </c>
      <c r="AY50" s="113">
        <f t="shared" si="26"/>
        <v>-0.45559900007499832</v>
      </c>
      <c r="AZ50" s="113">
        <f t="shared" si="26"/>
        <v>-0.5004004997608904</v>
      </c>
      <c r="BA50" s="113">
        <f t="shared" si="26"/>
        <v>-0.54518113980701932</v>
      </c>
      <c r="BB50" s="113">
        <f t="shared" si="26"/>
        <v>-0.5899407853819213</v>
      </c>
      <c r="BC50" s="113">
        <f t="shared" si="26"/>
        <v>-0.63467928058222478</v>
      </c>
      <c r="BD50" s="113">
        <f t="shared" si="26"/>
        <v>-0.67939644767678864</v>
      </c>
      <c r="BE50" s="113">
        <f t="shared" si="26"/>
        <v>-0.72409208623005861</v>
      </c>
      <c r="BF50" s="113">
        <f t="shared" si="28"/>
        <v>-0.76876597209422426</v>
      </c>
      <c r="BG50" s="113">
        <f t="shared" si="28"/>
        <v>-0.81341785625788332</v>
      </c>
      <c r="BH50" s="113">
        <f t="shared" si="28"/>
        <v>-0.8580474635367793</v>
      </c>
      <c r="BI50" s="113">
        <f t="shared" si="28"/>
        <v>-0.90265449108967688</v>
      </c>
    </row>
    <row r="51" spans="1:61">
      <c r="A51" s="113">
        <f t="shared" si="21"/>
        <v>2.4549999999999987</v>
      </c>
      <c r="B51" s="110">
        <f t="shared" si="4"/>
        <v>0.67056135778518389</v>
      </c>
      <c r="C51" s="113">
        <f t="shared" si="25"/>
        <v>0.74230017884938981</v>
      </c>
      <c r="D51" s="113">
        <f t="shared" si="25"/>
        <v>1.3046016893156626E-2</v>
      </c>
      <c r="E51" s="113">
        <f t="shared" si="25"/>
        <v>3.7838528299133324E-3</v>
      </c>
      <c r="F51" s="113">
        <f t="shared" si="25"/>
        <v>2.2995414432865492E-2</v>
      </c>
      <c r="G51" s="113">
        <f t="shared" si="25"/>
        <v>4.7009272196300222E-3</v>
      </c>
      <c r="H51" s="113">
        <f t="shared" si="25"/>
        <v>1.907600327728836E-3</v>
      </c>
      <c r="I51" s="113"/>
      <c r="J51" s="113"/>
      <c r="K51" s="113">
        <f t="shared" si="6"/>
        <v>0.80306810550683994</v>
      </c>
      <c r="L51" s="107">
        <f t="shared" si="7"/>
        <v>0.78873399055268412</v>
      </c>
      <c r="M51" s="111">
        <f t="shared" si="8"/>
        <v>0.8824001716520713</v>
      </c>
      <c r="N51" s="113">
        <f t="shared" si="9"/>
        <v>1.4334114954155859E-2</v>
      </c>
      <c r="O51" s="114">
        <f t="shared" si="10"/>
        <v>2.5593422839835394</v>
      </c>
      <c r="P51" s="111">
        <f t="shared" si="11"/>
        <v>3.5012738828275367</v>
      </c>
      <c r="Q51" s="111">
        <v>1.524280000000001</v>
      </c>
      <c r="R51" s="107">
        <f t="shared" si="12"/>
        <v>1.5686138966556704</v>
      </c>
      <c r="S51" s="115">
        <v>0.90058636363636357</v>
      </c>
      <c r="T51" s="107">
        <f t="shared" si="20"/>
        <v>5.65</v>
      </c>
      <c r="U51" s="111">
        <f t="shared" si="13"/>
        <v>3.7032414778603755</v>
      </c>
      <c r="V51" s="111">
        <f t="shared" si="14"/>
        <v>3.6032414778603754</v>
      </c>
      <c r="W51" s="111">
        <f t="shared" si="15"/>
        <v>3.5012738828275367</v>
      </c>
      <c r="X51" s="111">
        <f t="shared" si="16"/>
        <v>6.508444422164307</v>
      </c>
      <c r="Y51" s="115">
        <v>1.5680000000000003</v>
      </c>
      <c r="Z51" s="115">
        <v>0.4593192019702228</v>
      </c>
      <c r="AA51" s="113">
        <f t="shared" si="27"/>
        <v>-6.8077560479232191E-3</v>
      </c>
      <c r="AB51" s="113">
        <f t="shared" si="27"/>
        <v>-5.1814452254931587E-2</v>
      </c>
      <c r="AC51" s="113">
        <f t="shared" si="27"/>
        <v>-9.6800382628112303E-2</v>
      </c>
      <c r="AD51" s="113">
        <f t="shared" si="27"/>
        <v>3.8219782494900947E-2</v>
      </c>
      <c r="AE51" s="113">
        <f t="shared" si="27"/>
        <v>8.3268259871561751E-2</v>
      </c>
      <c r="AF51" s="113">
        <f t="shared" si="27"/>
        <v>0.12833779303430098</v>
      </c>
      <c r="AG51" s="113">
        <f t="shared" si="27"/>
        <v>0.17342851995117106</v>
      </c>
      <c r="AH51" s="113">
        <f t="shared" si="27"/>
        <v>0.21854060027741939</v>
      </c>
      <c r="AI51" s="113">
        <f t="shared" si="27"/>
        <v>0.26367421614445169</v>
      </c>
      <c r="AJ51" s="113">
        <f t="shared" si="27"/>
        <v>0.30882957307571451</v>
      </c>
      <c r="AK51" s="113">
        <f t="shared" si="27"/>
        <v>0.35400690104059823</v>
      </c>
      <c r="AL51" s="113">
        <f t="shared" si="27"/>
        <v>0.39920645565947155</v>
      </c>
      <c r="AM51" s="113">
        <f t="shared" si="27"/>
        <v>0.44442851957527302</v>
      </c>
      <c r="AN51" s="113">
        <f t="shared" si="27"/>
        <v>0.48967340400977055</v>
      </c>
      <c r="AO51" s="113">
        <f t="shared" si="27"/>
        <v>0.53494145052573472</v>
      </c>
      <c r="AP51" s="113">
        <f t="shared" si="27"/>
        <v>0.58023303301995721</v>
      </c>
      <c r="AQ51" s="113">
        <f t="shared" si="26"/>
        <v>0.62554855997640391</v>
      </c>
      <c r="AR51" s="113">
        <f t="shared" si="26"/>
        <v>-0.14176560403334379</v>
      </c>
      <c r="AS51" s="113">
        <f t="shared" si="26"/>
        <v>-0.18671015396603591</v>
      </c>
      <c r="AT51" s="113">
        <f t="shared" si="26"/>
        <v>-0.23163405072540033</v>
      </c>
      <c r="AU51" s="113">
        <f t="shared" si="26"/>
        <v>-0.27653729349924622</v>
      </c>
      <c r="AV51" s="113">
        <f t="shared" si="26"/>
        <v>-0.32141986236022047</v>
      </c>
      <c r="AW51" s="113">
        <f t="shared" si="26"/>
        <v>-0.36628171817345079</v>
      </c>
      <c r="AX51" s="113">
        <f t="shared" si="26"/>
        <v>-0.41112280241459209</v>
      </c>
      <c r="AY51" s="113">
        <f t="shared" si="26"/>
        <v>-0.45594303689629412</v>
      </c>
      <c r="AZ51" s="113">
        <f t="shared" si="26"/>
        <v>-0.50074232340009162</v>
      </c>
      <c r="BA51" s="113">
        <f t="shared" si="26"/>
        <v>-0.54552054320963772</v>
      </c>
      <c r="BB51" s="113">
        <f t="shared" si="26"/>
        <v>-0.59027755654004366</v>
      </c>
      <c r="BC51" s="113">
        <f t="shared" si="26"/>
        <v>-0.63501320185681798</v>
      </c>
      <c r="BD51" s="113">
        <f t="shared" si="26"/>
        <v>-0.67972729507649376</v>
      </c>
      <c r="BE51" s="113">
        <f t="shared" si="26"/>
        <v>-0.72441962863946696</v>
      </c>
      <c r="BF51" s="113">
        <f t="shared" si="28"/>
        <v>-0.76908997044377869</v>
      </c>
      <c r="BG51" s="113">
        <f t="shared" si="28"/>
        <v>-0.81373806262655046</v>
      </c>
      <c r="BH51" s="113">
        <f t="shared" si="28"/>
        <v>-0.85836362017743151</v>
      </c>
      <c r="BI51" s="113">
        <f t="shared" si="28"/>
        <v>-0.90296632936569998</v>
      </c>
    </row>
    <row r="52" spans="1:61">
      <c r="A52" s="113">
        <f t="shared" si="21"/>
        <v>2.4774999999999987</v>
      </c>
      <c r="B52" s="110">
        <f t="shared" si="4"/>
        <v>0.67670703214370376</v>
      </c>
      <c r="C52" s="113">
        <f t="shared" si="25"/>
        <v>0.73633655153221522</v>
      </c>
      <c r="D52" s="113">
        <f t="shared" si="25"/>
        <v>1.4095820684605865E-2</v>
      </c>
      <c r="E52" s="113">
        <f t="shared" si="25"/>
        <v>4.1105535225169311E-3</v>
      </c>
      <c r="F52" s="113">
        <f t="shared" si="25"/>
        <v>2.5711613778859471E-2</v>
      </c>
      <c r="G52" s="113">
        <f t="shared" si="25"/>
        <v>5.2131188741469719E-3</v>
      </c>
      <c r="H52" s="113">
        <f t="shared" si="25"/>
        <v>2.1135763410826949E-3</v>
      </c>
      <c r="I52" s="113"/>
      <c r="J52" s="113"/>
      <c r="K52" s="113">
        <f t="shared" si="6"/>
        <v>0.8019061185689994</v>
      </c>
      <c r="L52" s="107">
        <f t="shared" si="7"/>
        <v>0.78758123473342712</v>
      </c>
      <c r="M52" s="111">
        <f t="shared" si="8"/>
        <v>0.88240514702905037</v>
      </c>
      <c r="N52" s="113">
        <f t="shared" si="9"/>
        <v>1.4324883835572266E-2</v>
      </c>
      <c r="O52" s="114">
        <f t="shared" si="10"/>
        <v>2.5360990139978163</v>
      </c>
      <c r="P52" s="111">
        <f t="shared" si="11"/>
        <v>3.5013386186520101</v>
      </c>
      <c r="Q52" s="111">
        <v>1.524280000000001</v>
      </c>
      <c r="R52" s="107">
        <f t="shared" si="12"/>
        <v>1.568584930853594</v>
      </c>
      <c r="S52" s="115">
        <v>0.90058636363636357</v>
      </c>
      <c r="T52" s="107">
        <f t="shared" si="20"/>
        <v>5.65</v>
      </c>
      <c r="U52" s="111">
        <f t="shared" si="13"/>
        <v>3.7032414778603755</v>
      </c>
      <c r="V52" s="111">
        <f t="shared" si="14"/>
        <v>3.6032414778603754</v>
      </c>
      <c r="W52" s="111">
        <f t="shared" si="15"/>
        <v>3.5013386186520101</v>
      </c>
      <c r="X52" s="111">
        <f t="shared" si="16"/>
        <v>6.517721756801139</v>
      </c>
      <c r="Y52" s="115">
        <v>1.5680000000000003</v>
      </c>
      <c r="Z52" s="115">
        <v>0.4593192019702228</v>
      </c>
      <c r="AA52" s="113">
        <f t="shared" si="27"/>
        <v>-7.1566895864617133E-3</v>
      </c>
      <c r="AB52" s="113">
        <f t="shared" si="27"/>
        <v>-5.216309990130423E-2</v>
      </c>
      <c r="AC52" s="113">
        <f t="shared" si="27"/>
        <v>-9.7148555262927483E-2</v>
      </c>
      <c r="AD52" s="113">
        <f t="shared" si="27"/>
        <v>3.7870753315952403E-2</v>
      </c>
      <c r="AE52" s="113">
        <f t="shared" si="27"/>
        <v>8.291932698763424E-2</v>
      </c>
      <c r="AF52" s="113">
        <f t="shared" si="27"/>
        <v>0.12798915063238359</v>
      </c>
      <c r="AG52" s="113">
        <f t="shared" si="27"/>
        <v>0.17308036505909721</v>
      </c>
      <c r="AH52" s="113">
        <f t="shared" si="27"/>
        <v>0.21819313337975571</v>
      </c>
      <c r="AI52" s="113">
        <f t="shared" si="27"/>
        <v>0.26332764183064861</v>
      </c>
      <c r="AJ52" s="113">
        <f t="shared" si="27"/>
        <v>0.30848410072674454</v>
      </c>
      <c r="AK52" s="113">
        <f t="shared" si="27"/>
        <v>0.35366274556099753</v>
      </c>
      <c r="AL52" s="113">
        <f t="shared" si="27"/>
        <v>0.39886383826253358</v>
      </c>
      <c r="AM52" s="113">
        <f t="shared" si="27"/>
        <v>0.4440876686301472</v>
      </c>
      <c r="AN52" s="113">
        <f t="shared" si="27"/>
        <v>0.48933455596042158</v>
      </c>
      <c r="AO52" s="113">
        <f t="shared" si="27"/>
        <v>0.53460485089316634</v>
      </c>
      <c r="AP52" s="113">
        <f t="shared" si="27"/>
        <v>0.57989893750084109</v>
      </c>
      <c r="AQ52" s="113">
        <f t="shared" si="26"/>
        <v>0.62521723565334564</v>
      </c>
      <c r="AR52" s="113">
        <f t="shared" si="26"/>
        <v>-0.14211311313028632</v>
      </c>
      <c r="AS52" s="113">
        <f t="shared" si="26"/>
        <v>-0.18705681106026273</v>
      </c>
      <c r="AT52" s="113">
        <f t="shared" si="26"/>
        <v>-0.23197966688541899</v>
      </c>
      <c r="AU52" s="113">
        <f t="shared" si="26"/>
        <v>-0.27688167879814835</v>
      </c>
      <c r="AV52" s="113">
        <f t="shared" si="26"/>
        <v>-0.32176282534215261</v>
      </c>
      <c r="AW52" s="113">
        <f t="shared" si="26"/>
        <v>-0.36662306531115157</v>
      </c>
      <c r="AX52" s="113">
        <f t="shared" si="26"/>
        <v>-0.41146233755370726</v>
      </c>
      <c r="AY52" s="113">
        <f t="shared" si="26"/>
        <v>-0.45628056068199724</v>
      </c>
      <c r="AZ52" s="113">
        <f t="shared" si="26"/>
        <v>-0.50107763268128191</v>
      </c>
      <c r="BA52" s="113">
        <f t="shared" si="26"/>
        <v>-0.54585343041565604</v>
      </c>
      <c r="BB52" s="113">
        <f t="shared" si="26"/>
        <v>-0.59060780902442478</v>
      </c>
      <c r="BC52" s="113">
        <f t="shared" si="26"/>
        <v>-0.63534060120208646</v>
      </c>
      <c r="BD52" s="113">
        <f t="shared" si="26"/>
        <v>-0.68005161635338018</v>
      </c>
      <c r="BE52" s="113">
        <f t="shared" si="26"/>
        <v>-0.72474063961316837</v>
      </c>
      <c r="BF52" s="113">
        <f t="shared" si="28"/>
        <v>-0.76940743071898365</v>
      </c>
      <c r="BG52" s="113">
        <f t="shared" si="28"/>
        <v>-0.8140517227218681</v>
      </c>
      <c r="BH52" s="113">
        <f t="shared" si="28"/>
        <v>-0.85867322051857564</v>
      </c>
      <c r="BI52" s="113">
        <f t="shared" si="28"/>
        <v>-0.90327159918523903</v>
      </c>
    </row>
    <row r="53" spans="1:61">
      <c r="A53" s="113">
        <f t="shared" si="21"/>
        <v>2.4999999999999987</v>
      </c>
      <c r="B53" s="110">
        <f t="shared" si="4"/>
        <v>0.68285270650222385</v>
      </c>
      <c r="C53" s="113">
        <f t="shared" si="25"/>
        <v>0.73023121948618019</v>
      </c>
      <c r="D53" s="113">
        <f t="shared" si="25"/>
        <v>1.5134963444902874E-2</v>
      </c>
      <c r="E53" s="113">
        <f t="shared" si="25"/>
        <v>4.4371560377662227E-3</v>
      </c>
      <c r="F53" s="113">
        <f t="shared" si="25"/>
        <v>2.8547591695298254E-2</v>
      </c>
      <c r="G53" s="113">
        <f t="shared" si="25"/>
        <v>5.739952205145212E-3</v>
      </c>
      <c r="H53" s="113">
        <f t="shared" si="25"/>
        <v>2.3246915000400834E-3</v>
      </c>
      <c r="I53" s="113"/>
      <c r="J53" s="113"/>
      <c r="K53" s="113">
        <f t="shared" si="6"/>
        <v>0.80073147261401756</v>
      </c>
      <c r="L53" s="107">
        <f t="shared" si="7"/>
        <v>0.78641557436933285</v>
      </c>
      <c r="M53" s="111">
        <f t="shared" si="8"/>
        <v>0.88240999006313803</v>
      </c>
      <c r="N53" s="113">
        <f t="shared" si="9"/>
        <v>1.4315898244684752E-2</v>
      </c>
      <c r="O53" s="114">
        <f t="shared" si="10"/>
        <v>2.5132741228718358</v>
      </c>
      <c r="P53" s="111">
        <f t="shared" si="11"/>
        <v>3.5014016337802216</v>
      </c>
      <c r="Q53" s="111">
        <v>1.524280000000001</v>
      </c>
      <c r="R53" s="107">
        <f t="shared" si="12"/>
        <v>1.5685567359999999</v>
      </c>
      <c r="S53" s="115">
        <v>0.90058636363636357</v>
      </c>
      <c r="T53" s="107">
        <f t="shared" si="20"/>
        <v>5.65</v>
      </c>
      <c r="U53" s="111">
        <f t="shared" si="13"/>
        <v>3.7032414778603755</v>
      </c>
      <c r="V53" s="111">
        <f t="shared" si="14"/>
        <v>3.6032414778603754</v>
      </c>
      <c r="W53" s="111">
        <f t="shared" si="15"/>
        <v>3.5014016337802216</v>
      </c>
      <c r="X53" s="111">
        <f t="shared" si="16"/>
        <v>6.526999263064341</v>
      </c>
      <c r="Y53" s="115">
        <v>1.5680000000000003</v>
      </c>
      <c r="Z53" s="115">
        <v>0.4593192019702228</v>
      </c>
      <c r="AA53" s="113">
        <f t="shared" si="27"/>
        <v>-7.4992897696080918E-3</v>
      </c>
      <c r="AB53" s="113">
        <f t="shared" si="27"/>
        <v>-5.2505414206800209E-2</v>
      </c>
      <c r="AC53" s="113">
        <f t="shared" si="27"/>
        <v>-9.7490394586180695E-2</v>
      </c>
      <c r="AD53" s="113">
        <f t="shared" si="27"/>
        <v>3.752805749495159E-2</v>
      </c>
      <c r="AE53" s="113">
        <f t="shared" si="27"/>
        <v>8.2576727465076799E-2</v>
      </c>
      <c r="AF53" s="113">
        <f t="shared" si="27"/>
        <v>0.12764684161937576</v>
      </c>
      <c r="AG53" s="113">
        <f t="shared" si="27"/>
        <v>0.17273854364188002</v>
      </c>
      <c r="AH53" s="113">
        <f t="shared" si="27"/>
        <v>0.21785200014744663</v>
      </c>
      <c r="AI53" s="113">
        <f t="shared" si="27"/>
        <v>0.2629874015362772</v>
      </c>
      <c r="AJ53" s="113">
        <f t="shared" si="27"/>
        <v>0.30814496298805655</v>
      </c>
      <c r="AK53" s="113">
        <f t="shared" si="27"/>
        <v>0.35332492560822865</v>
      </c>
      <c r="AL53" s="113">
        <f t="shared" si="27"/>
        <v>0.39852755774123266</v>
      </c>
      <c r="AM53" s="113">
        <f t="shared" si="27"/>
        <v>0.44375315646818836</v>
      </c>
      <c r="AN53" s="113">
        <f t="shared" si="27"/>
        <v>0.48900204930961944</v>
      </c>
      <c r="AO53" s="113">
        <f t="shared" si="27"/>
        <v>0.53427459615744122</v>
      </c>
      <c r="AP53" s="113">
        <f t="shared" si="27"/>
        <v>0.57957119146472524</v>
      </c>
      <c r="AQ53" s="113">
        <f t="shared" si="26"/>
        <v>0.62489226672684905</v>
      </c>
      <c r="AR53" s="113">
        <f t="shared" si="26"/>
        <v>-0.14245428895290374</v>
      </c>
      <c r="AS53" s="113">
        <f t="shared" si="26"/>
        <v>-0.18739713490884291</v>
      </c>
      <c r="AT53" s="113">
        <f t="shared" si="26"/>
        <v>-0.23231894979378709</v>
      </c>
      <c r="AU53" s="113">
        <f t="shared" si="26"/>
        <v>-0.27721973076875517</v>
      </c>
      <c r="AV53" s="113">
        <f t="shared" si="26"/>
        <v>-0.3220994548023659</v>
      </c>
      <c r="AW53" s="113">
        <f t="shared" si="26"/>
        <v>-0.3669580785601092</v>
      </c>
      <c r="AX53" s="113">
        <f t="shared" si="26"/>
        <v>-0.41179553819527442</v>
      </c>
      <c r="AY53" s="113">
        <f t="shared" si="26"/>
        <v>-0.45661174903917351</v>
      </c>
      <c r="AZ53" s="113">
        <f t="shared" si="26"/>
        <v>-0.50140660518712921</v>
      </c>
      <c r="BA53" s="113">
        <f t="shared" si="26"/>
        <v>-0.54617997897546322</v>
      </c>
      <c r="BB53" s="113">
        <f t="shared" si="26"/>
        <v>-0.59093172034337915</v>
      </c>
      <c r="BC53" s="113">
        <f t="shared" si="26"/>
        <v>-0.6356616560721664</v>
      </c>
      <c r="BD53" s="113">
        <f t="shared" si="26"/>
        <v>-0.68036958889251919</v>
      </c>
      <c r="BE53" s="113">
        <f t="shared" si="26"/>
        <v>-0.72505529644892774</v>
      </c>
      <c r="BF53" s="113">
        <f t="shared" si="28"/>
        <v>-0.76971853010800662</v>
      </c>
      <c r="BG53" s="113">
        <f t="shared" si="28"/>
        <v>-0.81435901359522556</v>
      </c>
      <c r="BH53" s="113">
        <f t="shared" si="28"/>
        <v>-0.85897644144173046</v>
      </c>
      <c r="BI53" s="113">
        <f t="shared" si="28"/>
        <v>-0.90357047721969863</v>
      </c>
    </row>
    <row r="54" spans="1:61">
      <c r="A54" s="111"/>
      <c r="B54" s="110"/>
      <c r="C54" s="110"/>
      <c r="F54" s="115"/>
      <c r="G54" s="111"/>
      <c r="J54" s="111"/>
      <c r="K54" s="111"/>
      <c r="N54" s="111"/>
      <c r="P54" s="110"/>
      <c r="S54" s="118"/>
      <c r="T54" s="118"/>
      <c r="U54" s="118"/>
      <c r="V54" s="118"/>
      <c r="W54" s="118"/>
      <c r="X54" s="118"/>
      <c r="Y54" s="118"/>
      <c r="Z54" s="118"/>
      <c r="AD54" s="111"/>
      <c r="AE54" s="111"/>
      <c r="AF54" s="111"/>
      <c r="AG54" s="111"/>
    </row>
    <row r="55" spans="1:61">
      <c r="A55" s="111" t="s">
        <v>3</v>
      </c>
      <c r="B55" s="111">
        <f>C55*((C55+F55)/D55)</f>
        <v>87.188222820497828</v>
      </c>
      <c r="C55" s="111">
        <f>AVERAGE(C24:C49)</f>
        <v>0.78406347999741688</v>
      </c>
      <c r="D55" s="111">
        <f t="shared" ref="D55:H55" si="29">AVERAGE(D21:D49)</f>
        <v>7.1074108112790472E-3</v>
      </c>
      <c r="E55" s="111">
        <f t="shared" si="29"/>
        <v>1.6614436983497566E-3</v>
      </c>
      <c r="F55" s="111">
        <f t="shared" si="29"/>
        <v>6.2839004119530292E-3</v>
      </c>
      <c r="G55" s="111">
        <f t="shared" si="29"/>
        <v>1.5685367318094357E-3</v>
      </c>
      <c r="H55" s="111">
        <f t="shared" si="29"/>
        <v>7.0179931536331686E-4</v>
      </c>
      <c r="I55" s="111"/>
      <c r="J55" s="111"/>
      <c r="K55" s="111">
        <f t="shared" ref="K55:S55" si="30">AVERAGE(K21:K49)</f>
        <v>0.81060405974650818</v>
      </c>
      <c r="L55" s="111">
        <f t="shared" si="30"/>
        <v>0.7966348664439008</v>
      </c>
      <c r="M55" s="111">
        <f t="shared" si="30"/>
        <v>0.88228862418472886</v>
      </c>
      <c r="N55" s="111">
        <f t="shared" si="30"/>
        <v>1.3969193302607472E-2</v>
      </c>
      <c r="O55" s="111">
        <f t="shared" si="30"/>
        <v>3.0237067034788376</v>
      </c>
      <c r="P55" s="111">
        <f t="shared" si="30"/>
        <v>3.4997112335849181</v>
      </c>
      <c r="Q55" s="111">
        <f t="shared" si="30"/>
        <v>1.5260273517241396</v>
      </c>
      <c r="R55" s="111">
        <f t="shared" si="30"/>
        <v>1.5692634841938484</v>
      </c>
      <c r="S55" s="111">
        <f t="shared" si="30"/>
        <v>0.90085125391849563</v>
      </c>
      <c r="T55" s="118"/>
      <c r="U55" s="118"/>
      <c r="V55" s="118"/>
      <c r="W55" s="118"/>
      <c r="X55" s="118"/>
      <c r="Y55" s="118"/>
      <c r="Z55" s="118">
        <v>0.67174915495668275</v>
      </c>
      <c r="AB55" s="110"/>
      <c r="AC55" s="110"/>
      <c r="AD55" s="110"/>
      <c r="AE55" s="110"/>
      <c r="AF55" s="110" t="s">
        <v>149</v>
      </c>
      <c r="AG55" s="110"/>
      <c r="AH55" s="110"/>
    </row>
    <row r="56" spans="1:61">
      <c r="A56" s="111"/>
      <c r="B56" s="110" t="s">
        <v>150</v>
      </c>
      <c r="C56" s="110">
        <f>C55/SUM(C55:H55)</f>
        <v>0.97838360212616304</v>
      </c>
      <c r="F56" s="111"/>
      <c r="H56" s="111"/>
      <c r="I56" s="111"/>
      <c r="J56" s="111"/>
      <c r="L56" s="111"/>
      <c r="M56" s="119"/>
      <c r="N56" s="119"/>
      <c r="P56" s="110"/>
      <c r="R56" s="120"/>
      <c r="S56" s="121"/>
      <c r="T56" s="121"/>
      <c r="U56" s="121"/>
      <c r="V56" s="121"/>
      <c r="W56" s="121"/>
      <c r="X56" s="121"/>
      <c r="Y56" s="121"/>
      <c r="Z56" s="121"/>
      <c r="AD56" s="111"/>
      <c r="AE56" s="111"/>
      <c r="AF56" s="111" t="s">
        <v>197</v>
      </c>
      <c r="AG56" s="111"/>
      <c r="AH56" s="112" t="str">
        <f t="shared" ref="AH56:BI56" si="31">"E"&amp;AH$10</f>
        <v>E4</v>
      </c>
      <c r="AI56" s="112" t="str">
        <f t="shared" si="31"/>
        <v>E5</v>
      </c>
      <c r="AJ56" s="112" t="str">
        <f t="shared" si="31"/>
        <v>E6</v>
      </c>
      <c r="AK56" s="112" t="str">
        <f t="shared" si="31"/>
        <v>E7</v>
      </c>
      <c r="AL56" s="112" t="str">
        <f t="shared" si="31"/>
        <v>E8</v>
      </c>
      <c r="AM56" s="112" t="str">
        <f t="shared" si="31"/>
        <v>E9</v>
      </c>
      <c r="AN56" s="112" t="str">
        <f t="shared" si="31"/>
        <v>E10</v>
      </c>
      <c r="AO56" s="112" t="str">
        <f t="shared" si="31"/>
        <v>E11</v>
      </c>
      <c r="AP56" s="112" t="str">
        <f t="shared" si="31"/>
        <v>E12</v>
      </c>
      <c r="AQ56" s="112" t="str">
        <f t="shared" si="31"/>
        <v>E13</v>
      </c>
      <c r="AR56" s="112" t="str">
        <f t="shared" si="31"/>
        <v>E-4</v>
      </c>
      <c r="AS56" s="112" t="str">
        <f t="shared" si="31"/>
        <v>E-5</v>
      </c>
      <c r="AT56" s="112" t="str">
        <f t="shared" si="31"/>
        <v>E-6</v>
      </c>
      <c r="AU56" s="112" t="str">
        <f t="shared" si="31"/>
        <v>E-7</v>
      </c>
      <c r="AV56" s="112" t="str">
        <f t="shared" si="31"/>
        <v>E-8</v>
      </c>
      <c r="AW56" s="112" t="str">
        <f t="shared" si="31"/>
        <v>E-9</v>
      </c>
      <c r="AX56" s="112" t="str">
        <f t="shared" si="31"/>
        <v>E-10</v>
      </c>
      <c r="AY56" s="112" t="str">
        <f t="shared" si="31"/>
        <v>E-11</v>
      </c>
      <c r="AZ56" s="112" t="str">
        <f t="shared" si="31"/>
        <v>E-12</v>
      </c>
      <c r="BA56" s="112" t="str">
        <f t="shared" si="31"/>
        <v>E-13</v>
      </c>
      <c r="BB56" s="112" t="str">
        <f t="shared" si="31"/>
        <v>E-14</v>
      </c>
      <c r="BC56" s="112" t="str">
        <f t="shared" si="31"/>
        <v>E-15</v>
      </c>
      <c r="BD56" s="112" t="str">
        <f t="shared" si="31"/>
        <v>E-16</v>
      </c>
      <c r="BE56" s="112" t="str">
        <f t="shared" si="31"/>
        <v>E-17</v>
      </c>
      <c r="BF56" s="112" t="str">
        <f t="shared" si="31"/>
        <v>E-18</v>
      </c>
      <c r="BG56" s="112" t="str">
        <f t="shared" si="31"/>
        <v>E-19</v>
      </c>
      <c r="BH56" s="112" t="str">
        <f t="shared" si="31"/>
        <v>E-20</v>
      </c>
      <c r="BI56" s="112" t="str">
        <f t="shared" si="31"/>
        <v>E-21</v>
      </c>
    </row>
    <row r="57" spans="1:61">
      <c r="A57" s="107" t="s">
        <v>151</v>
      </c>
      <c r="R57" s="120"/>
      <c r="S57" s="121"/>
      <c r="T57" s="121"/>
      <c r="U57" s="121"/>
      <c r="V57" s="121"/>
      <c r="W57" s="121"/>
      <c r="X57" s="121"/>
      <c r="Y57" s="121"/>
      <c r="Z57" s="121"/>
      <c r="AD57" s="111"/>
      <c r="AE57" s="111"/>
      <c r="AF57" s="111">
        <f>SUM(AH57:BI57)</f>
        <v>3.0233114762711285E-2</v>
      </c>
      <c r="AG57" s="111"/>
      <c r="AH57" s="113">
        <f t="shared" ref="AH57:BI57" si="32">$D$3*$S12/(AH12^2/$D$4^2)*2*(1-COS(AH12*$M$6))</f>
        <v>2.0685077271182226E-3</v>
      </c>
      <c r="AI57" s="113">
        <f t="shared" si="32"/>
        <v>1.4846381143727037E-3</v>
      </c>
      <c r="AJ57" s="113">
        <f t="shared" si="32"/>
        <v>1.1221596091494251E-3</v>
      </c>
      <c r="AK57" s="113">
        <f t="shared" si="32"/>
        <v>8.8151648629706582E-4</v>
      </c>
      <c r="AL57" s="113">
        <f t="shared" si="32"/>
        <v>7.1345417654946448E-4</v>
      </c>
      <c r="AM57" s="113">
        <f t="shared" si="32"/>
        <v>5.9132615197315388E-4</v>
      </c>
      <c r="AN57" s="113">
        <f t="shared" si="32"/>
        <v>4.9968814394651668E-4</v>
      </c>
      <c r="AO57" s="113">
        <f t="shared" si="32"/>
        <v>4.2908379875365905E-4</v>
      </c>
      <c r="AP57" s="113">
        <f t="shared" si="32"/>
        <v>3.7345795661886696E-4</v>
      </c>
      <c r="AQ57" s="113">
        <f t="shared" si="32"/>
        <v>3.2878610331283872E-4</v>
      </c>
      <c r="AR57" s="113">
        <f t="shared" si="32"/>
        <v>7.4856333641119864E-3</v>
      </c>
      <c r="AS57" s="113">
        <f t="shared" si="32"/>
        <v>3.9670136050221219E-3</v>
      </c>
      <c r="AT57" s="113">
        <f t="shared" si="32"/>
        <v>2.4514891389318229E-3</v>
      </c>
      <c r="AU57" s="113">
        <f t="shared" si="32"/>
        <v>1.6647367302262961E-3</v>
      </c>
      <c r="AV57" s="113">
        <f t="shared" si="32"/>
        <v>1.205233788255338E-3</v>
      </c>
      <c r="AW57" s="113">
        <f t="shared" si="32"/>
        <v>9.1409760025502494E-4</v>
      </c>
      <c r="AX57" s="113">
        <f t="shared" si="32"/>
        <v>7.1828519791585475E-4</v>
      </c>
      <c r="AY57" s="113">
        <f t="shared" si="32"/>
        <v>5.804239607266219E-4</v>
      </c>
      <c r="AZ57" s="113">
        <f t="shared" si="32"/>
        <v>4.7978908146091998E-4</v>
      </c>
      <c r="BA57" s="113">
        <f t="shared" si="32"/>
        <v>4.0414158581671199E-4</v>
      </c>
      <c r="BB57" s="113">
        <f t="shared" si="32"/>
        <v>3.4587882855743868E-4</v>
      </c>
      <c r="BC57" s="113">
        <f t="shared" si="32"/>
        <v>3.0007759619887412E-4</v>
      </c>
      <c r="BD57" s="113">
        <f t="shared" si="32"/>
        <v>2.6343675522041754E-4</v>
      </c>
      <c r="BE57" s="113">
        <f t="shared" si="32"/>
        <v>2.3367625068472956E-4</v>
      </c>
      <c r="BF57" s="113">
        <f t="shared" si="32"/>
        <v>2.0918055647166001E-4</v>
      </c>
      <c r="BG57" s="113">
        <f t="shared" si="32"/>
        <v>1.8877924982664744E-4</v>
      </c>
      <c r="BH57" s="113">
        <f t="shared" si="32"/>
        <v>1.716076149004983E-4</v>
      </c>
      <c r="BI57" s="113">
        <f t="shared" si="32"/>
        <v>1.570155900364018E-4</v>
      </c>
    </row>
    <row r="58" spans="1:61">
      <c r="A58" s="107" t="s">
        <v>152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R58" s="120"/>
      <c r="S58" s="121"/>
      <c r="T58" s="121"/>
      <c r="U58" s="121"/>
      <c r="V58" s="121"/>
      <c r="W58" s="121"/>
      <c r="X58" s="121"/>
      <c r="Y58" s="121"/>
      <c r="Z58" s="121"/>
      <c r="AD58" s="111"/>
      <c r="AE58" s="111"/>
      <c r="AF58" s="111">
        <f>SUM(AH58:BI58)</f>
        <v>2.7717955234170265E-2</v>
      </c>
      <c r="AG58" s="111"/>
      <c r="AH58" s="113">
        <f t="shared" ref="AH58:BI60" si="33">$D$3*$S14/(AH14^2/$D$4^2)*2*(1-COS(AH14*$M$6))</f>
        <v>1.9275851890459812E-3</v>
      </c>
      <c r="AI58" s="113">
        <f t="shared" si="33"/>
        <v>1.3846523176829575E-3</v>
      </c>
      <c r="AJ58" s="113">
        <f t="shared" si="33"/>
        <v>1.0479314361655342E-3</v>
      </c>
      <c r="AK58" s="113">
        <f t="shared" si="33"/>
        <v>8.2453815352487932E-4</v>
      </c>
      <c r="AL58" s="113">
        <f t="shared" si="33"/>
        <v>6.6859379149024226E-4</v>
      </c>
      <c r="AM58" s="113">
        <f t="shared" si="33"/>
        <v>5.5530740959372287E-4</v>
      </c>
      <c r="AN58" s="113">
        <f t="shared" si="33"/>
        <v>4.7032268631286896E-4</v>
      </c>
      <c r="AO58" s="113">
        <f t="shared" si="33"/>
        <v>4.0485505302067457E-4</v>
      </c>
      <c r="AP58" s="113">
        <f t="shared" si="33"/>
        <v>3.5328216592921396E-4</v>
      </c>
      <c r="AQ58" s="113">
        <f t="shared" si="33"/>
        <v>3.1186842757448122E-4</v>
      </c>
      <c r="AR58" s="113">
        <f t="shared" si="33"/>
        <v>6.7693609922763846E-3</v>
      </c>
      <c r="AS58" s="113">
        <f t="shared" si="33"/>
        <v>3.5992991103820601E-3</v>
      </c>
      <c r="AT58" s="113">
        <f t="shared" si="33"/>
        <v>2.2285615254337911E-3</v>
      </c>
      <c r="AU58" s="113">
        <f t="shared" si="33"/>
        <v>1.5154546380677317E-3</v>
      </c>
      <c r="AV58" s="113">
        <f t="shared" si="33"/>
        <v>1.0984427670765768E-3</v>
      </c>
      <c r="AW58" s="113">
        <f t="shared" si="33"/>
        <v>8.3403084991101779E-4</v>
      </c>
      <c r="AX58" s="113">
        <f t="shared" si="33"/>
        <v>6.5611655094837816E-4</v>
      </c>
      <c r="AY58" s="113">
        <f t="shared" si="33"/>
        <v>5.3083035380258471E-4</v>
      </c>
      <c r="AZ58" s="113">
        <f t="shared" si="33"/>
        <v>4.3937066158314619E-4</v>
      </c>
      <c r="BA58" s="113">
        <f t="shared" si="33"/>
        <v>3.7062570944993903E-4</v>
      </c>
      <c r="BB58" s="113">
        <f t="shared" si="33"/>
        <v>3.1768905134666126E-4</v>
      </c>
      <c r="BC58" s="113">
        <f t="shared" si="33"/>
        <v>2.7608633130229987E-4</v>
      </c>
      <c r="BD58" s="113">
        <f t="shared" si="33"/>
        <v>2.4281636603336998E-4</v>
      </c>
      <c r="BE58" s="113">
        <f t="shared" si="33"/>
        <v>2.1580572475911729E-4</v>
      </c>
      <c r="BF58" s="113">
        <f t="shared" si="33"/>
        <v>1.9358497514371156E-4</v>
      </c>
      <c r="BG58" s="113">
        <f t="shared" si="33"/>
        <v>1.7508935069961135E-4</v>
      </c>
      <c r="BH58" s="113">
        <f t="shared" si="33"/>
        <v>1.5953207171196009E-4</v>
      </c>
      <c r="BI58" s="113">
        <f t="shared" si="33"/>
        <v>1.4632157390136527E-4</v>
      </c>
    </row>
    <row r="59" spans="1:61">
      <c r="A59" s="107" t="s">
        <v>153</v>
      </c>
      <c r="AD59" s="111"/>
      <c r="AE59" s="111"/>
      <c r="AF59" s="111">
        <f>SUM(AH59:BI59)</f>
        <v>2.5227445903631313E-2</v>
      </c>
      <c r="AG59" s="111"/>
      <c r="AH59" s="113">
        <f t="shared" si="33"/>
        <v>1.7825875717727292E-3</v>
      </c>
      <c r="AI59" s="113">
        <f t="shared" si="33"/>
        <v>1.2817533445921869E-3</v>
      </c>
      <c r="AJ59" s="113">
        <f t="shared" si="33"/>
        <v>9.7144430675380098E-4</v>
      </c>
      <c r="AK59" s="113">
        <f t="shared" si="33"/>
        <v>7.6570555333648664E-4</v>
      </c>
      <c r="AL59" s="113">
        <f t="shared" si="33"/>
        <v>6.2214822189368441E-4</v>
      </c>
      <c r="AM59" s="113">
        <f t="shared" si="33"/>
        <v>5.1789300163169712E-4</v>
      </c>
      <c r="AN59" s="113">
        <f t="shared" si="33"/>
        <v>4.3970150855284526E-4</v>
      </c>
      <c r="AO59" s="113">
        <f t="shared" si="33"/>
        <v>3.7947812761881036E-4</v>
      </c>
      <c r="AP59" s="113">
        <f t="shared" si="33"/>
        <v>3.3204371864724395E-4</v>
      </c>
      <c r="AQ59" s="113">
        <f t="shared" si="33"/>
        <v>2.9395818383352851E-4</v>
      </c>
      <c r="AR59" s="113">
        <f t="shared" si="33"/>
        <v>6.0754252457641926E-3</v>
      </c>
      <c r="AS59" s="113">
        <f t="shared" si="33"/>
        <v>3.2405347228984362E-3</v>
      </c>
      <c r="AT59" s="113">
        <f t="shared" si="33"/>
        <v>2.010177222505355E-3</v>
      </c>
      <c r="AU59" s="113">
        <f t="shared" si="33"/>
        <v>1.3688178555655878E-3</v>
      </c>
      <c r="AV59" s="113">
        <f t="shared" si="33"/>
        <v>9.9332835359591874E-4</v>
      </c>
      <c r="AW59" s="113">
        <f t="shared" si="33"/>
        <v>7.5508467159987765E-4</v>
      </c>
      <c r="AX59" s="113">
        <f t="shared" si="33"/>
        <v>5.9472062392674704E-4</v>
      </c>
      <c r="AY59" s="113">
        <f t="shared" si="33"/>
        <v>4.8177712379014889E-4</v>
      </c>
      <c r="AZ59" s="113">
        <f t="shared" si="33"/>
        <v>3.9932928413896358E-4</v>
      </c>
      <c r="BA59" s="113">
        <f t="shared" si="33"/>
        <v>3.3736728693293941E-4</v>
      </c>
      <c r="BB59" s="113">
        <f t="shared" si="33"/>
        <v>2.8966625477583834E-4</v>
      </c>
      <c r="BC59" s="113">
        <f t="shared" si="33"/>
        <v>2.5219175917875195E-4</v>
      </c>
      <c r="BD59" s="113">
        <f t="shared" si="33"/>
        <v>2.2223687186265413E-4</v>
      </c>
      <c r="BE59" s="113">
        <f t="shared" si="33"/>
        <v>1.9793101645969118E-4</v>
      </c>
      <c r="BF59" s="113">
        <f t="shared" si="33"/>
        <v>1.7794827859678134E-4</v>
      </c>
      <c r="BG59" s="113">
        <f t="shared" si="33"/>
        <v>1.6132773915901322E-4</v>
      </c>
      <c r="BH59" s="113">
        <f t="shared" si="33"/>
        <v>1.4735925374857406E-4</v>
      </c>
      <c r="BI59" s="113">
        <f t="shared" si="33"/>
        <v>1.3550880049882755E-4</v>
      </c>
    </row>
    <row r="60" spans="1:61">
      <c r="A60" s="107" t="s">
        <v>154</v>
      </c>
      <c r="AD60" s="111"/>
      <c r="AE60" s="111"/>
      <c r="AF60" s="111">
        <f>SUM(AH60:BI60)</f>
        <v>2.2790380704791766E-2</v>
      </c>
      <c r="AG60" s="111"/>
      <c r="AH60" s="113">
        <f t="shared" si="33"/>
        <v>1.6357797398503346E-3</v>
      </c>
      <c r="AI60" s="113">
        <f t="shared" si="33"/>
        <v>1.1775448147673859E-3</v>
      </c>
      <c r="AJ60" s="113">
        <f t="shared" si="33"/>
        <v>8.9389352961088942E-4</v>
      </c>
      <c r="AK60" s="113">
        <f t="shared" si="33"/>
        <v>7.0594415518736016E-4</v>
      </c>
      <c r="AL60" s="113">
        <f t="shared" si="33"/>
        <v>5.7485516453687391E-4</v>
      </c>
      <c r="AM60" s="113">
        <f t="shared" si="33"/>
        <v>4.7968454058321217E-4</v>
      </c>
      <c r="AN60" s="113">
        <f t="shared" si="33"/>
        <v>4.0832429943874491E-4</v>
      </c>
      <c r="AO60" s="113">
        <f t="shared" si="33"/>
        <v>3.5337426284471967E-4</v>
      </c>
      <c r="AP60" s="113">
        <f t="shared" si="33"/>
        <v>3.1010206848153433E-4</v>
      </c>
      <c r="AQ60" s="113">
        <f t="shared" si="33"/>
        <v>2.7536519116765459E-4</v>
      </c>
      <c r="AR60" s="113">
        <f t="shared" si="33"/>
        <v>5.4100971990309775E-3</v>
      </c>
      <c r="AS60" s="113">
        <f t="shared" si="33"/>
        <v>2.8943514609620284E-3</v>
      </c>
      <c r="AT60" s="113">
        <f t="shared" si="33"/>
        <v>1.7986714073734327E-3</v>
      </c>
      <c r="AU60" s="113">
        <f t="shared" si="33"/>
        <v>1.226445714989637E-3</v>
      </c>
      <c r="AV60" s="113">
        <f t="shared" si="33"/>
        <v>8.9107636503482537E-4</v>
      </c>
      <c r="AW60" s="113">
        <f t="shared" si="33"/>
        <v>6.7816360749072143E-4</v>
      </c>
      <c r="AX60" s="113">
        <f t="shared" si="33"/>
        <v>5.3480955982605728E-4</v>
      </c>
      <c r="AY60" s="113">
        <f t="shared" si="33"/>
        <v>4.3383922046130534E-4</v>
      </c>
      <c r="AZ60" s="113">
        <f t="shared" si="33"/>
        <v>3.6013873546859024E-4</v>
      </c>
      <c r="BA60" s="113">
        <f t="shared" si="33"/>
        <v>3.0476341974168542E-4</v>
      </c>
      <c r="BB60" s="113">
        <f t="shared" si="33"/>
        <v>2.6214804795746843E-4</v>
      </c>
      <c r="BC60" s="113">
        <f t="shared" si="33"/>
        <v>2.2868441320447535E-4</v>
      </c>
      <c r="BD60" s="113">
        <f t="shared" si="33"/>
        <v>2.0195091298034411E-4</v>
      </c>
      <c r="BE60" s="113">
        <f t="shared" si="33"/>
        <v>1.8027380381291846E-4</v>
      </c>
      <c r="BF60" s="113">
        <f t="shared" si="33"/>
        <v>1.6246650734542476E-4</v>
      </c>
      <c r="BG60" s="113">
        <f t="shared" si="33"/>
        <v>1.476689729750574E-4</v>
      </c>
      <c r="BH60" s="113">
        <f t="shared" si="33"/>
        <v>1.3524552263258297E-4</v>
      </c>
      <c r="BI60" s="113">
        <f t="shared" si="33"/>
        <v>1.2471806703552539E-4</v>
      </c>
    </row>
    <row r="61" spans="1:61">
      <c r="A61" s="107" t="s">
        <v>155</v>
      </c>
      <c r="C61" s="122"/>
      <c r="D61" s="122"/>
      <c r="AF61" s="111">
        <f t="shared" ref="AF61:AF68" si="34">SUM(AH61:BI61)</f>
        <v>2.2790380704791766E-2</v>
      </c>
      <c r="AH61" s="113">
        <f t="shared" ref="AH61:BI61" si="35">$D$3*$S16/(AH16^2/$D$4^2)*2*(1-COS(AH16*$M$6))</f>
        <v>1.6357797398503346E-3</v>
      </c>
      <c r="AI61" s="113">
        <f t="shared" si="35"/>
        <v>1.1775448147673859E-3</v>
      </c>
      <c r="AJ61" s="113">
        <f t="shared" si="35"/>
        <v>8.9389352961088942E-4</v>
      </c>
      <c r="AK61" s="113">
        <f t="shared" si="35"/>
        <v>7.0594415518736016E-4</v>
      </c>
      <c r="AL61" s="113">
        <f t="shared" si="35"/>
        <v>5.7485516453687391E-4</v>
      </c>
      <c r="AM61" s="113">
        <f t="shared" si="35"/>
        <v>4.7968454058321217E-4</v>
      </c>
      <c r="AN61" s="113">
        <f t="shared" si="35"/>
        <v>4.0832429943874491E-4</v>
      </c>
      <c r="AO61" s="113">
        <f t="shared" si="35"/>
        <v>3.5337426284471967E-4</v>
      </c>
      <c r="AP61" s="113">
        <f t="shared" si="35"/>
        <v>3.1010206848153433E-4</v>
      </c>
      <c r="AQ61" s="113">
        <f t="shared" si="35"/>
        <v>2.7536519116765459E-4</v>
      </c>
      <c r="AR61" s="113">
        <f t="shared" si="35"/>
        <v>5.4100971990309775E-3</v>
      </c>
      <c r="AS61" s="113">
        <f t="shared" si="35"/>
        <v>2.8943514609620284E-3</v>
      </c>
      <c r="AT61" s="113">
        <f t="shared" si="35"/>
        <v>1.7986714073734327E-3</v>
      </c>
      <c r="AU61" s="113">
        <f t="shared" si="35"/>
        <v>1.226445714989637E-3</v>
      </c>
      <c r="AV61" s="113">
        <f t="shared" si="35"/>
        <v>8.9107636503482537E-4</v>
      </c>
      <c r="AW61" s="113">
        <f t="shared" si="35"/>
        <v>6.7816360749072143E-4</v>
      </c>
      <c r="AX61" s="113">
        <f t="shared" si="35"/>
        <v>5.3480955982605728E-4</v>
      </c>
      <c r="AY61" s="113">
        <f t="shared" si="35"/>
        <v>4.3383922046130534E-4</v>
      </c>
      <c r="AZ61" s="113">
        <f t="shared" si="35"/>
        <v>3.6013873546859024E-4</v>
      </c>
      <c r="BA61" s="113">
        <f t="shared" si="35"/>
        <v>3.0476341974168542E-4</v>
      </c>
      <c r="BB61" s="113">
        <f t="shared" si="35"/>
        <v>2.6214804795746843E-4</v>
      </c>
      <c r="BC61" s="113">
        <f t="shared" si="35"/>
        <v>2.2868441320447535E-4</v>
      </c>
      <c r="BD61" s="113">
        <f t="shared" si="35"/>
        <v>2.0195091298034411E-4</v>
      </c>
      <c r="BE61" s="113">
        <f t="shared" si="35"/>
        <v>1.8027380381291846E-4</v>
      </c>
      <c r="BF61" s="113">
        <f t="shared" si="35"/>
        <v>1.6246650734542476E-4</v>
      </c>
      <c r="BG61" s="113">
        <f t="shared" si="35"/>
        <v>1.476689729750574E-4</v>
      </c>
      <c r="BH61" s="113">
        <f t="shared" si="35"/>
        <v>1.3524552263258297E-4</v>
      </c>
      <c r="BI61" s="113">
        <f t="shared" si="35"/>
        <v>1.2471806703552539E-4</v>
      </c>
    </row>
    <row r="62" spans="1:61">
      <c r="A62" s="107" t="s">
        <v>156</v>
      </c>
      <c r="C62" s="122"/>
      <c r="D62" s="122"/>
      <c r="AF62" s="111">
        <f t="shared" si="34"/>
        <v>1.8168548163664571E-2</v>
      </c>
      <c r="AH62" s="113">
        <f t="shared" ref="AH62:BI68" si="36">$D$3*$S18/(AH18^2/$D$4^2)*2*(1-COS(AH18*$M$6))</f>
        <v>1.3445899010202094E-3</v>
      </c>
      <c r="AI62" s="113">
        <f t="shared" si="36"/>
        <v>9.7074937259889089E-4</v>
      </c>
      <c r="AJ62" s="113">
        <f t="shared" si="36"/>
        <v>7.3973623824261992E-4</v>
      </c>
      <c r="AK62" s="113">
        <f t="shared" si="36"/>
        <v>5.8683912485315789E-4</v>
      </c>
      <c r="AL62" s="113">
        <f t="shared" si="36"/>
        <v>4.8028489986901463E-4</v>
      </c>
      <c r="AM62" s="113">
        <f t="shared" si="36"/>
        <v>4.0297674901865427E-4</v>
      </c>
      <c r="AN62" s="113">
        <f t="shared" si="36"/>
        <v>3.4504381592943422E-4</v>
      </c>
      <c r="AO62" s="113">
        <f t="shared" si="36"/>
        <v>3.0045917566739599E-4</v>
      </c>
      <c r="AP62" s="113">
        <f t="shared" si="36"/>
        <v>2.6537118664968635E-4</v>
      </c>
      <c r="AQ62" s="113">
        <f t="shared" si="36"/>
        <v>2.3722313750332321E-4</v>
      </c>
      <c r="AR62" s="113">
        <f t="shared" si="36"/>
        <v>4.1836629237161386E-3</v>
      </c>
      <c r="AS62" s="113">
        <f t="shared" si="36"/>
        <v>2.2507637008060649E-3</v>
      </c>
      <c r="AT62" s="113">
        <f t="shared" si="36"/>
        <v>1.4035158813325468E-3</v>
      </c>
      <c r="AU62" s="113">
        <f t="shared" si="36"/>
        <v>9.5955542481329528E-4</v>
      </c>
      <c r="AV62" s="113">
        <f t="shared" si="36"/>
        <v>6.9889237165353532E-4</v>
      </c>
      <c r="AW62" s="113">
        <f t="shared" si="36"/>
        <v>5.3326034046259174E-4</v>
      </c>
      <c r="AX62" s="113">
        <f t="shared" si="36"/>
        <v>4.2170722466997284E-4</v>
      </c>
      <c r="AY62" s="113">
        <f t="shared" si="36"/>
        <v>3.4314602551544675E-4</v>
      </c>
      <c r="AZ62" s="113">
        <f t="shared" si="36"/>
        <v>2.8582967319826279E-4</v>
      </c>
      <c r="BA62" s="113">
        <f t="shared" si="36"/>
        <v>2.4279792500237363E-4</v>
      </c>
      <c r="BB62" s="113">
        <f t="shared" si="36"/>
        <v>2.0971665026089549E-4</v>
      </c>
      <c r="BC62" s="113">
        <f t="shared" si="36"/>
        <v>1.8377417200016828E-4</v>
      </c>
      <c r="BD62" s="113">
        <f t="shared" si="36"/>
        <v>1.6308269268033252E-4</v>
      </c>
      <c r="BE62" s="113">
        <f t="shared" si="36"/>
        <v>1.4633704345158507E-4</v>
      </c>
      <c r="BF62" s="113">
        <f t="shared" si="36"/>
        <v>1.3261174687278539E-4</v>
      </c>
      <c r="BG62" s="113">
        <f t="shared" si="36"/>
        <v>1.2123588406806459E-4</v>
      </c>
      <c r="BH62" s="113">
        <f t="shared" si="36"/>
        <v>1.1171347528740013E-4</v>
      </c>
      <c r="BI62" s="113">
        <f t="shared" si="36"/>
        <v>1.0367140652072198E-4</v>
      </c>
    </row>
    <row r="63" spans="1:61">
      <c r="A63" s="107" t="s">
        <v>157</v>
      </c>
      <c r="C63" s="122"/>
      <c r="D63" s="122"/>
      <c r="AF63" s="111">
        <f t="shared" si="34"/>
        <v>1.6019279403466466E-2</v>
      </c>
      <c r="AH63" s="113">
        <f t="shared" si="36"/>
        <v>1.2035559876234767E-3</v>
      </c>
      <c r="AI63" s="113">
        <f t="shared" si="36"/>
        <v>8.7052371028491845E-4</v>
      </c>
      <c r="AJ63" s="113">
        <f t="shared" si="36"/>
        <v>6.6488935392981969E-4</v>
      </c>
      <c r="AK63" s="113">
        <f t="shared" si="36"/>
        <v>5.2886105378728739E-4</v>
      </c>
      <c r="AL63" s="113">
        <f t="shared" si="36"/>
        <v>4.3410073789797323E-4</v>
      </c>
      <c r="AM63" s="113">
        <f t="shared" si="36"/>
        <v>3.6537380873803954E-4</v>
      </c>
      <c r="AN63" s="113">
        <f t="shared" si="36"/>
        <v>3.1389005065460453E-4</v>
      </c>
      <c r="AO63" s="113">
        <f t="shared" si="36"/>
        <v>2.7428458570672863E-4</v>
      </c>
      <c r="AP63" s="113">
        <f t="shared" si="36"/>
        <v>2.4312972826681745E-4</v>
      </c>
      <c r="AQ63" s="113">
        <f t="shared" si="36"/>
        <v>2.1815043442495005E-4</v>
      </c>
      <c r="AR63" s="113">
        <f t="shared" si="36"/>
        <v>3.6288703495953012E-3</v>
      </c>
      <c r="AS63" s="113">
        <f t="shared" si="36"/>
        <v>1.9573386507792047E-3</v>
      </c>
      <c r="AT63" s="113">
        <f t="shared" si="36"/>
        <v>1.2225292674596842E-3</v>
      </c>
      <c r="AU63" s="113">
        <f t="shared" si="36"/>
        <v>8.3692802225173791E-4</v>
      </c>
      <c r="AV63" s="113">
        <f t="shared" si="36"/>
        <v>6.1036740329769548E-4</v>
      </c>
      <c r="AW63" s="113">
        <f t="shared" si="36"/>
        <v>4.6636464265798584E-4</v>
      </c>
      <c r="AX63" s="113">
        <f t="shared" si="36"/>
        <v>3.6938007425617612E-4</v>
      </c>
      <c r="AY63" s="113">
        <f t="shared" si="36"/>
        <v>3.010946881072943E-4</v>
      </c>
      <c r="AZ63" s="113">
        <f t="shared" si="36"/>
        <v>2.5129614896080048E-4</v>
      </c>
      <c r="BA63" s="113">
        <f t="shared" si="36"/>
        <v>2.1393061609858584E-4</v>
      </c>
      <c r="BB63" s="113">
        <f t="shared" si="36"/>
        <v>1.8522713989974402E-4</v>
      </c>
      <c r="BC63" s="113">
        <f t="shared" si="36"/>
        <v>1.6273887461840163E-4</v>
      </c>
      <c r="BD63" s="113">
        <f t="shared" si="36"/>
        <v>1.4482275952288997E-4</v>
      </c>
      <c r="BE63" s="113">
        <f t="shared" si="36"/>
        <v>1.3034274281991726E-4</v>
      </c>
      <c r="BF63" s="113">
        <f t="shared" si="36"/>
        <v>1.1849322883481224E-4</v>
      </c>
      <c r="BG63" s="113">
        <f t="shared" si="36"/>
        <v>1.0869018355677135E-4</v>
      </c>
      <c r="BH63" s="113">
        <f t="shared" si="36"/>
        <v>1.0050183240172091E-4</v>
      </c>
      <c r="BI63" s="113">
        <f t="shared" si="36"/>
        <v>9.3603327033127444E-5</v>
      </c>
    </row>
    <row r="64" spans="1:61">
      <c r="A64" s="107" t="s">
        <v>158</v>
      </c>
      <c r="C64" s="122"/>
      <c r="D64" s="122"/>
      <c r="AF64" s="111">
        <f t="shared" si="34"/>
        <v>1.3989656859244188E-2</v>
      </c>
      <c r="AH64" s="113">
        <f t="shared" si="36"/>
        <v>1.0669839414876362E-3</v>
      </c>
      <c r="AI64" s="113">
        <f t="shared" si="36"/>
        <v>7.7340314949201185E-4</v>
      </c>
      <c r="AJ64" s="113">
        <f t="shared" si="36"/>
        <v>5.9226153785818482E-4</v>
      </c>
      <c r="AK64" s="113">
        <f t="shared" si="36"/>
        <v>4.7249573303214114E-4</v>
      </c>
      <c r="AL64" s="113">
        <f t="shared" si="36"/>
        <v>3.890982505371642E-4</v>
      </c>
      <c r="AM64" s="113">
        <f t="shared" si="36"/>
        <v>3.2863632144657556E-4</v>
      </c>
      <c r="AN64" s="113">
        <f t="shared" si="36"/>
        <v>2.833637172968226E-4</v>
      </c>
      <c r="AO64" s="113">
        <f t="shared" si="36"/>
        <v>2.4855440826889727E-4</v>
      </c>
      <c r="AP64" s="113">
        <f t="shared" si="36"/>
        <v>2.2118944742495142E-4</v>
      </c>
      <c r="AQ64" s="113">
        <f t="shared" si="36"/>
        <v>1.9926516659270286E-4</v>
      </c>
      <c r="AR64" s="113">
        <f t="shared" si="36"/>
        <v>3.1143689252470484E-3</v>
      </c>
      <c r="AS64" s="113">
        <f t="shared" si="36"/>
        <v>1.683928573515065E-3</v>
      </c>
      <c r="AT64" s="113">
        <f t="shared" si="36"/>
        <v>1.0534141321502256E-3</v>
      </c>
      <c r="AU64" s="113">
        <f t="shared" si="36"/>
        <v>7.2211653714285924E-4</v>
      </c>
      <c r="AV64" s="113">
        <f t="shared" si="36"/>
        <v>5.2735000879249559E-4</v>
      </c>
      <c r="AW64" s="113">
        <f t="shared" si="36"/>
        <v>4.0353738479098243E-4</v>
      </c>
      <c r="AX64" s="113">
        <f t="shared" si="36"/>
        <v>3.2016286414666284E-4</v>
      </c>
      <c r="AY64" s="113">
        <f t="shared" si="36"/>
        <v>2.6148211344493205E-4</v>
      </c>
      <c r="AZ64" s="113">
        <f t="shared" si="36"/>
        <v>2.1871257959487126E-4</v>
      </c>
      <c r="BA64" s="113">
        <f t="shared" si="36"/>
        <v>1.8664584312995156E-4</v>
      </c>
      <c r="BB64" s="113">
        <f t="shared" si="36"/>
        <v>1.6203672856115762E-4</v>
      </c>
      <c r="BC64" s="113">
        <f t="shared" si="36"/>
        <v>1.4277923422595858E-4</v>
      </c>
      <c r="BD64" s="113">
        <f t="shared" si="36"/>
        <v>1.2745907554148918E-4</v>
      </c>
      <c r="BE64" s="113">
        <f t="shared" si="36"/>
        <v>1.1509836100534311E-4</v>
      </c>
      <c r="BF64" s="113">
        <f t="shared" si="36"/>
        <v>1.0500365151907457E-4</v>
      </c>
      <c r="BG64" s="113">
        <f t="shared" si="36"/>
        <v>9.667222417931667E-5</v>
      </c>
      <c r="BH64" s="113">
        <f t="shared" si="36"/>
        <v>8.9732406584525881E-5</v>
      </c>
      <c r="BI64" s="113">
        <f t="shared" si="36"/>
        <v>8.3904542235138709E-5</v>
      </c>
    </row>
    <row r="65" spans="1:61">
      <c r="A65" s="107" t="s">
        <v>159</v>
      </c>
      <c r="C65" s="122"/>
      <c r="D65" s="122"/>
      <c r="AF65" s="111">
        <f t="shared" si="34"/>
        <v>1.208628993613717E-2</v>
      </c>
      <c r="AH65" s="113">
        <f t="shared" si="36"/>
        <v>9.3578526990471019E-4</v>
      </c>
      <c r="AI65" s="113">
        <f t="shared" si="36"/>
        <v>6.8001960647606666E-4</v>
      </c>
      <c r="AJ65" s="113">
        <f t="shared" si="36"/>
        <v>5.2231786585568837E-4</v>
      </c>
      <c r="AK65" s="113">
        <f t="shared" si="36"/>
        <v>4.1810062957803003E-4</v>
      </c>
      <c r="AL65" s="113">
        <f t="shared" si="36"/>
        <v>3.4556129910098826E-4</v>
      </c>
      <c r="AM65" s="113">
        <f t="shared" si="36"/>
        <v>2.9299542194882413E-4</v>
      </c>
      <c r="AN65" s="113">
        <f t="shared" si="36"/>
        <v>2.5365673916775792E-4</v>
      </c>
      <c r="AO65" s="113">
        <f t="shared" si="36"/>
        <v>2.2343048251488682E-4</v>
      </c>
      <c r="AP65" s="113">
        <f t="shared" si="36"/>
        <v>1.9968848183422172E-4</v>
      </c>
      <c r="AQ65" s="113">
        <f t="shared" si="36"/>
        <v>1.806863656449526E-4</v>
      </c>
      <c r="AR65" s="113">
        <f t="shared" si="36"/>
        <v>2.6406199888372403E-3</v>
      </c>
      <c r="AS65" s="113">
        <f t="shared" si="36"/>
        <v>1.4310488915680567E-3</v>
      </c>
      <c r="AT65" s="113">
        <f t="shared" si="36"/>
        <v>8.9658054021369952E-4</v>
      </c>
      <c r="AU65" s="113">
        <f t="shared" si="36"/>
        <v>6.1543804401326271E-4</v>
      </c>
      <c r="AV65" s="113">
        <f t="shared" si="36"/>
        <v>4.5008856482308009E-4</v>
      </c>
      <c r="AW65" s="113">
        <f t="shared" si="36"/>
        <v>3.4497711010255462E-4</v>
      </c>
      <c r="AX65" s="113">
        <f t="shared" si="36"/>
        <v>2.7421752721070971E-4</v>
      </c>
      <c r="AY65" s="113">
        <f t="shared" si="36"/>
        <v>2.2444280152962717E-4</v>
      </c>
      <c r="AZ65" s="113">
        <f t="shared" si="36"/>
        <v>1.8819248198329619E-4</v>
      </c>
      <c r="BA65" s="113">
        <f t="shared" si="36"/>
        <v>1.6104075608474122E-4</v>
      </c>
      <c r="BB65" s="113">
        <f t="shared" si="36"/>
        <v>1.4022956625608869E-4</v>
      </c>
      <c r="BC65" s="113">
        <f t="shared" si="36"/>
        <v>1.2396890068888384E-4</v>
      </c>
      <c r="BD65" s="113">
        <f t="shared" si="36"/>
        <v>1.1105667680972886E-4</v>
      </c>
      <c r="BE65" s="113">
        <f t="shared" si="36"/>
        <v>1.0066176450515374E-4</v>
      </c>
      <c r="BF65" s="113">
        <f t="shared" si="36"/>
        <v>9.2194831906857738E-5</v>
      </c>
      <c r="BG65" s="113">
        <f t="shared" si="36"/>
        <v>8.5228652059848395E-5</v>
      </c>
      <c r="BH65" s="113">
        <f t="shared" si="36"/>
        <v>7.9447369435628777E-5</v>
      </c>
      <c r="BI65" s="113">
        <f t="shared" si="36"/>
        <v>7.4613306082583702E-5</v>
      </c>
    </row>
    <row r="66" spans="1:61">
      <c r="A66" s="107" t="s">
        <v>160</v>
      </c>
      <c r="C66" s="122"/>
      <c r="D66" s="122"/>
      <c r="AF66" s="111">
        <f t="shared" si="34"/>
        <v>1.0289481744503223E-2</v>
      </c>
      <c r="AH66" s="113">
        <f t="shared" si="36"/>
        <v>8.0881363220445385E-4</v>
      </c>
      <c r="AI66" s="113">
        <f t="shared" si="36"/>
        <v>5.895063277482457E-4</v>
      </c>
      <c r="AJ66" s="113">
        <f t="shared" si="36"/>
        <v>4.5436970757155141E-4</v>
      </c>
      <c r="AK66" s="113">
        <f t="shared" si="36"/>
        <v>3.6510750014013367E-4</v>
      </c>
      <c r="AL66" s="113">
        <f t="shared" si="36"/>
        <v>3.0300669382356938E-4</v>
      </c>
      <c r="AM66" s="113">
        <f t="shared" si="36"/>
        <v>2.580301041824936E-4</v>
      </c>
      <c r="AN66" s="113">
        <f t="shared" si="36"/>
        <v>2.2439481779477089E-4</v>
      </c>
      <c r="AO66" s="113">
        <f t="shared" si="36"/>
        <v>1.9857435972920015E-4</v>
      </c>
      <c r="AP66" s="113">
        <f t="shared" si="36"/>
        <v>1.783163849343014E-4</v>
      </c>
      <c r="AQ66" s="113">
        <f t="shared" si="36"/>
        <v>1.6212577358342542E-4</v>
      </c>
      <c r="AR66" s="113">
        <f t="shared" si="36"/>
        <v>2.2024408430670133E-3</v>
      </c>
      <c r="AS66" s="113">
        <f t="shared" si="36"/>
        <v>1.1961351414772972E-3</v>
      </c>
      <c r="AT66" s="113">
        <f t="shared" si="36"/>
        <v>7.5050294172869438E-4</v>
      </c>
      <c r="AU66" s="113">
        <f t="shared" si="36"/>
        <v>5.1587858165666987E-4</v>
      </c>
      <c r="AV66" s="113">
        <f t="shared" si="36"/>
        <v>3.7785678950968932E-4</v>
      </c>
      <c r="AW66" s="113">
        <f t="shared" si="36"/>
        <v>2.9013451824224734E-4</v>
      </c>
      <c r="AX66" s="113">
        <f t="shared" si="36"/>
        <v>2.3111092537627227E-4</v>
      </c>
      <c r="AY66" s="113">
        <f t="shared" si="36"/>
        <v>1.8962365819234268E-4</v>
      </c>
      <c r="AZ66" s="113">
        <f t="shared" si="36"/>
        <v>1.5944003233232007E-4</v>
      </c>
      <c r="BA66" s="113">
        <f t="shared" si="36"/>
        <v>1.3686174094180932E-4</v>
      </c>
      <c r="BB66" s="113">
        <f t="shared" si="36"/>
        <v>1.1958389299944625E-4</v>
      </c>
      <c r="BC66" s="113">
        <f t="shared" si="36"/>
        <v>1.0611061189080301E-4</v>
      </c>
      <c r="BD66" s="113">
        <f t="shared" si="36"/>
        <v>9.5437427198837206E-5</v>
      </c>
      <c r="BE66" s="113">
        <f t="shared" si="36"/>
        <v>8.6869925834536733E-5</v>
      </c>
      <c r="BF66" s="113">
        <f t="shared" si="36"/>
        <v>7.9915783926674127E-5</v>
      </c>
      <c r="BG66" s="113">
        <f t="shared" si="36"/>
        <v>7.4218137848119936E-5</v>
      </c>
      <c r="BH66" s="113">
        <f t="shared" si="36"/>
        <v>6.9513164523629255E-5</v>
      </c>
      <c r="BI66" s="113">
        <f t="shared" si="36"/>
        <v>6.5602326044677435E-5</v>
      </c>
    </row>
    <row r="67" spans="1:61">
      <c r="A67" s="107" t="s">
        <v>161</v>
      </c>
      <c r="C67" s="122"/>
      <c r="D67" s="122"/>
      <c r="AF67" s="111">
        <f t="shared" si="34"/>
        <v>8.6795387337939341E-3</v>
      </c>
      <c r="AH67" s="113">
        <f t="shared" si="36"/>
        <v>6.9279315846471404E-4</v>
      </c>
      <c r="AI67" s="113">
        <f t="shared" si="36"/>
        <v>5.0673482108830076E-4</v>
      </c>
      <c r="AJ67" s="113">
        <f t="shared" si="36"/>
        <v>3.9215306592499914E-4</v>
      </c>
      <c r="AK67" s="113">
        <f t="shared" si="36"/>
        <v>3.1650508372898053E-4</v>
      </c>
      <c r="AL67" s="113">
        <f t="shared" si="36"/>
        <v>2.6390457360087651E-4</v>
      </c>
      <c r="AM67" s="113">
        <f t="shared" si="36"/>
        <v>2.2583545482403959E-4</v>
      </c>
      <c r="AN67" s="113">
        <f t="shared" si="36"/>
        <v>1.9739271955378015E-4</v>
      </c>
      <c r="AO67" s="113">
        <f t="shared" si="36"/>
        <v>1.7558556300003312E-4</v>
      </c>
      <c r="AP67" s="113">
        <f t="shared" si="36"/>
        <v>1.5850363505386659E-4</v>
      </c>
      <c r="AQ67" s="113">
        <f t="shared" si="36"/>
        <v>1.4487852705799816E-4</v>
      </c>
      <c r="AR67" s="113">
        <f t="shared" si="36"/>
        <v>1.8160468162882828E-3</v>
      </c>
      <c r="AS67" s="113">
        <f t="shared" si="36"/>
        <v>9.882279358945326E-4</v>
      </c>
      <c r="AT67" s="113">
        <f t="shared" si="36"/>
        <v>6.2093311535570844E-4</v>
      </c>
      <c r="AU67" s="113">
        <f t="shared" si="36"/>
        <v>4.2742529320857466E-4</v>
      </c>
      <c r="AV67" s="113">
        <f t="shared" si="36"/>
        <v>3.1359131825596975E-4</v>
      </c>
      <c r="AW67" s="113">
        <f t="shared" si="36"/>
        <v>2.412730974418643E-4</v>
      </c>
      <c r="AX67" s="113">
        <f t="shared" si="36"/>
        <v>1.9265090465884292E-4</v>
      </c>
      <c r="AY67" s="113">
        <f t="shared" si="36"/>
        <v>1.5851077472716404E-4</v>
      </c>
      <c r="AZ67" s="113">
        <f t="shared" si="36"/>
        <v>1.3370634333896431E-4</v>
      </c>
      <c r="BA67" s="113">
        <f t="shared" si="36"/>
        <v>1.151835591396615E-4</v>
      </c>
      <c r="BB67" s="113">
        <f t="shared" si="36"/>
        <v>1.0103910682418928E-4</v>
      </c>
      <c r="BC67" s="113">
        <f t="shared" si="36"/>
        <v>9.0037891459199745E-5</v>
      </c>
      <c r="BD67" s="113">
        <f t="shared" si="36"/>
        <v>8.1350715405628901E-5</v>
      </c>
      <c r="BE67" s="113">
        <f t="shared" si="36"/>
        <v>7.4404464636818781E-5</v>
      </c>
      <c r="BF67" s="113">
        <f t="shared" si="36"/>
        <v>6.8792904719953293E-5</v>
      </c>
      <c r="BG67" s="113">
        <f t="shared" si="36"/>
        <v>6.4221628540380164E-5</v>
      </c>
      <c r="BH67" s="113">
        <f t="shared" si="36"/>
        <v>6.0473006710266574E-5</v>
      </c>
      <c r="BI67" s="113">
        <f t="shared" si="36"/>
        <v>5.7383254890345046E-5</v>
      </c>
    </row>
    <row r="68" spans="1:61">
      <c r="A68" s="107" t="s">
        <v>162</v>
      </c>
      <c r="C68" s="122"/>
      <c r="D68" s="122"/>
      <c r="AF68" s="111">
        <f t="shared" si="34"/>
        <v>7.233185628177501E-3</v>
      </c>
      <c r="AH68" s="113">
        <f t="shared" si="36"/>
        <v>5.8642753036914979E-4</v>
      </c>
      <c r="AI68" s="113">
        <f t="shared" si="36"/>
        <v>4.3075511343808071E-4</v>
      </c>
      <c r="AJ68" s="113">
        <f t="shared" si="36"/>
        <v>3.3493836541775184E-4</v>
      </c>
      <c r="AK68" s="113">
        <f t="shared" si="36"/>
        <v>2.7171261079025731E-4</v>
      </c>
      <c r="AL68" s="113">
        <f t="shared" si="36"/>
        <v>2.2777930475830803E-4</v>
      </c>
      <c r="AM68" s="113">
        <f t="shared" si="36"/>
        <v>1.9601283386410273E-4</v>
      </c>
      <c r="AN68" s="113">
        <f t="shared" si="36"/>
        <v>1.7230984824149516E-4</v>
      </c>
      <c r="AO68" s="113">
        <f t="shared" si="36"/>
        <v>1.5416831384741978E-4</v>
      </c>
      <c r="AP68" s="113">
        <f t="shared" si="36"/>
        <v>1.3998976125283624E-4</v>
      </c>
      <c r="AQ68" s="113">
        <f t="shared" si="36"/>
        <v>1.287124511003235E-4</v>
      </c>
      <c r="AR68" s="113">
        <f t="shared" si="36"/>
        <v>1.4749878318127008E-3</v>
      </c>
      <c r="AS68" s="113">
        <f t="shared" si="36"/>
        <v>8.0406364216789106E-4</v>
      </c>
      <c r="AT68" s="113">
        <f t="shared" si="36"/>
        <v>5.0590853278618605E-4</v>
      </c>
      <c r="AU68" s="113">
        <f t="shared" si="36"/>
        <v>3.487687900897387E-4</v>
      </c>
      <c r="AV68" s="113">
        <f t="shared" si="36"/>
        <v>2.5635555171588803E-4</v>
      </c>
      <c r="AW68" s="113">
        <f t="shared" si="36"/>
        <v>1.9768852434612206E-4</v>
      </c>
      <c r="AX68" s="113">
        <f t="shared" si="36"/>
        <v>1.5828738681974931E-4</v>
      </c>
      <c r="AY68" s="113">
        <f t="shared" si="36"/>
        <v>1.3066157440109205E-4</v>
      </c>
      <c r="AZ68" s="113">
        <f t="shared" si="36"/>
        <v>1.1062665565400566E-4</v>
      </c>
      <c r="BA68" s="113">
        <f t="shared" si="36"/>
        <v>9.5699523115043815E-5</v>
      </c>
      <c r="BB68" s="113">
        <f t="shared" si="36"/>
        <v>8.4332951672667949E-5</v>
      </c>
      <c r="BC68" s="113">
        <f t="shared" si="36"/>
        <v>7.5523191752704401E-5</v>
      </c>
      <c r="BD68" s="113">
        <f t="shared" si="36"/>
        <v>6.8596585372793456E-5</v>
      </c>
      <c r="BE68" s="113">
        <f t="shared" si="36"/>
        <v>6.3087687969839952E-5</v>
      </c>
      <c r="BF68" s="113">
        <f t="shared" si="36"/>
        <v>5.8666696162114118E-5</v>
      </c>
      <c r="BG68" s="113">
        <f t="shared" si="36"/>
        <v>5.5094661319763035E-5</v>
      </c>
      <c r="BH68" s="113">
        <f t="shared" si="36"/>
        <v>5.2194977890965085E-5</v>
      </c>
      <c r="BI68" s="113">
        <f t="shared" si="36"/>
        <v>4.9834730048511774E-5</v>
      </c>
    </row>
    <row r="69" spans="1:61">
      <c r="A69" s="107" t="s">
        <v>163</v>
      </c>
      <c r="C69" s="122"/>
      <c r="D69" s="122"/>
      <c r="AF69" s="111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</row>
    <row r="70" spans="1:61">
      <c r="C70" s="122"/>
      <c r="D70" s="122"/>
      <c r="AF70" s="111">
        <f t="shared" ref="AF70:AF76" si="37">SUM(AH70:BI70)</f>
        <v>5.9318603944834456E-3</v>
      </c>
      <c r="AH70" s="113">
        <f t="shared" ref="AH70:BI76" si="38">$D$3*$S25/(AH25^2/$D$4^2)*2*(1-COS(AH25*$M$6))</f>
        <v>4.886845986592929E-4</v>
      </c>
      <c r="AI70" s="113">
        <f t="shared" si="38"/>
        <v>3.607996039973282E-4</v>
      </c>
      <c r="AJ70" s="113">
        <f t="shared" si="38"/>
        <v>2.8212730989346578E-4</v>
      </c>
      <c r="AK70" s="113">
        <f t="shared" si="38"/>
        <v>2.3024647260756705E-4</v>
      </c>
      <c r="AL70" s="113">
        <f t="shared" si="38"/>
        <v>1.9422842701681539E-4</v>
      </c>
      <c r="AM70" s="113">
        <f t="shared" si="38"/>
        <v>1.6821919746718618E-4</v>
      </c>
      <c r="AN70" s="113">
        <f t="shared" si="38"/>
        <v>1.4884787353715187E-4</v>
      </c>
      <c r="AO70" s="113">
        <f t="shared" si="38"/>
        <v>1.3405868977965583E-4</v>
      </c>
      <c r="AP70" s="113">
        <f t="shared" si="38"/>
        <v>1.2253780966967631E-4</v>
      </c>
      <c r="AQ70" s="113">
        <f t="shared" si="38"/>
        <v>1.1341205621222359E-4</v>
      </c>
      <c r="AR70" s="113">
        <f t="shared" si="38"/>
        <v>1.1741965396591305E-3</v>
      </c>
      <c r="AS70" s="113">
        <f t="shared" si="38"/>
        <v>6.4109030010734347E-4</v>
      </c>
      <c r="AT70" s="113">
        <f t="shared" si="38"/>
        <v>4.0389920888496238E-4</v>
      </c>
      <c r="AU70" s="113">
        <f t="shared" si="38"/>
        <v>2.7888981430515238E-4</v>
      </c>
      <c r="AV70" s="113">
        <f t="shared" si="38"/>
        <v>2.0542056314047001E-4</v>
      </c>
      <c r="AW70" s="113">
        <f t="shared" si="38"/>
        <v>1.5883209171481847E-4</v>
      </c>
      <c r="AX70" s="113">
        <f t="shared" si="38"/>
        <v>1.2759090430547037E-4</v>
      </c>
      <c r="AY70" s="113">
        <f t="shared" si="38"/>
        <v>1.0572938527932074E-4</v>
      </c>
      <c r="AZ70" s="113">
        <f t="shared" si="38"/>
        <v>8.9913993937288029E-5</v>
      </c>
      <c r="BA70" s="113">
        <f t="shared" si="38"/>
        <v>7.816701185986411E-5</v>
      </c>
      <c r="BB70" s="113">
        <f t="shared" si="38"/>
        <v>6.9256573521086446E-5</v>
      </c>
      <c r="BC70" s="113">
        <f t="shared" si="38"/>
        <v>6.2383883122674004E-5</v>
      </c>
      <c r="BD70" s="113">
        <f t="shared" si="38"/>
        <v>5.7013111289861405E-5</v>
      </c>
      <c r="BE70" s="113">
        <f t="shared" si="38"/>
        <v>5.2774238507389274E-5</v>
      </c>
      <c r="BF70" s="113">
        <f t="shared" si="38"/>
        <v>4.9405208672032059E-5</v>
      </c>
      <c r="BG70" s="113">
        <f t="shared" si="38"/>
        <v>4.6716235581950755E-5</v>
      </c>
      <c r="BH70" s="113">
        <f t="shared" si="38"/>
        <v>4.4567083866290827E-5</v>
      </c>
      <c r="BI70" s="113">
        <f t="shared" si="38"/>
        <v>4.2852207887977431E-5</v>
      </c>
    </row>
    <row r="71" spans="1:61">
      <c r="C71" s="122"/>
      <c r="D71" s="122"/>
      <c r="AF71" s="111">
        <f t="shared" si="37"/>
        <v>4.7740710781302596E-3</v>
      </c>
      <c r="AH71" s="113">
        <f t="shared" si="38"/>
        <v>3.998597349129769E-4</v>
      </c>
      <c r="AI71" s="113">
        <f t="shared" si="38"/>
        <v>2.9707174591546225E-4</v>
      </c>
      <c r="AJ71" s="113">
        <f t="shared" si="38"/>
        <v>2.3387282775810868E-4</v>
      </c>
      <c r="AK71" s="113">
        <f t="shared" si="38"/>
        <v>1.9222897185132746E-4</v>
      </c>
      <c r="AL71" s="113">
        <f t="shared" si="38"/>
        <v>1.6335423307372763E-4</v>
      </c>
      <c r="AM71" s="113">
        <f t="shared" si="38"/>
        <v>1.4254295767000361E-4</v>
      </c>
      <c r="AN71" s="113">
        <f t="shared" si="38"/>
        <v>1.2708509165579673E-4</v>
      </c>
      <c r="AO71" s="113">
        <f t="shared" si="38"/>
        <v>1.1532730089683298E-4</v>
      </c>
      <c r="AP71" s="113">
        <f t="shared" si="38"/>
        <v>1.0621233644100401E-4</v>
      </c>
      <c r="AQ71" s="113">
        <f t="shared" si="38"/>
        <v>9.9036977464335131E-5</v>
      </c>
      <c r="AR71" s="113">
        <f t="shared" si="38"/>
        <v>9.1229031419889949E-4</v>
      </c>
      <c r="AS71" s="113">
        <f t="shared" si="38"/>
        <v>4.9873705108937402E-4</v>
      </c>
      <c r="AT71" s="113">
        <f t="shared" si="38"/>
        <v>3.14612085904167E-4</v>
      </c>
      <c r="AU71" s="113">
        <f t="shared" si="38"/>
        <v>2.1761719317899778E-4</v>
      </c>
      <c r="AV71" s="113">
        <f t="shared" si="38"/>
        <v>1.6067789781155112E-4</v>
      </c>
      <c r="AW71" s="113">
        <f t="shared" si="38"/>
        <v>1.2463142046132732E-4</v>
      </c>
      <c r="AX71" s="113">
        <f t="shared" si="38"/>
        <v>1.0051160639118592E-4</v>
      </c>
      <c r="AY71" s="113">
        <f t="shared" si="38"/>
        <v>8.3679337602751103E-5</v>
      </c>
      <c r="AZ71" s="113">
        <f t="shared" si="38"/>
        <v>7.1543953208997509E-5</v>
      </c>
      <c r="BA71" s="113">
        <f t="shared" si="38"/>
        <v>6.2569222495644891E-5</v>
      </c>
      <c r="BB71" s="113">
        <f t="shared" si="38"/>
        <v>5.5798868539750215E-5</v>
      </c>
      <c r="BC71" s="113">
        <f t="shared" si="38"/>
        <v>5.0613243880792444E-5</v>
      </c>
      <c r="BD71" s="113">
        <f t="shared" si="38"/>
        <v>4.6597010436597273E-5</v>
      </c>
      <c r="BE71" s="113">
        <f t="shared" si="38"/>
        <v>4.3463576504970417E-5</v>
      </c>
      <c r="BF71" s="113">
        <f t="shared" si="38"/>
        <v>4.1010118212416718E-5</v>
      </c>
      <c r="BG71" s="113">
        <f t="shared" si="38"/>
        <v>3.908983411183544E-5</v>
      </c>
      <c r="BH71" s="113">
        <f t="shared" si="38"/>
        <v>3.7594290460127392E-5</v>
      </c>
      <c r="BI71" s="113">
        <f t="shared" si="38"/>
        <v>3.6441876001299079E-5</v>
      </c>
    </row>
    <row r="72" spans="1:61">
      <c r="C72" s="122"/>
      <c r="D72" s="122"/>
      <c r="AF72" s="111">
        <f t="shared" si="37"/>
        <v>3.7570885536875711E-3</v>
      </c>
      <c r="AH72" s="113">
        <f t="shared" si="38"/>
        <v>3.201320676758385E-4</v>
      </c>
      <c r="AI72" s="113">
        <f t="shared" si="38"/>
        <v>2.3969356459176315E-4</v>
      </c>
      <c r="AJ72" s="113">
        <f t="shared" si="38"/>
        <v>1.9026760778571749E-4</v>
      </c>
      <c r="AK72" s="113">
        <f t="shared" si="38"/>
        <v>1.5773602097310735E-4</v>
      </c>
      <c r="AL72" s="113">
        <f t="shared" si="38"/>
        <v>1.3522218134492993E-4</v>
      </c>
      <c r="AM72" s="113">
        <f t="shared" si="38"/>
        <v>1.1904257190928266E-4</v>
      </c>
      <c r="AN72" s="113">
        <f t="shared" si="38"/>
        <v>1.0707497009388739E-4</v>
      </c>
      <c r="AO72" s="113">
        <f t="shared" si="38"/>
        <v>9.8023857649898915E-5</v>
      </c>
      <c r="AP72" s="113">
        <f t="shared" si="38"/>
        <v>9.1060082600671771E-5</v>
      </c>
      <c r="AQ72" s="113">
        <f t="shared" si="38"/>
        <v>8.5631506416729834E-5</v>
      </c>
      <c r="AR72" s="113">
        <f t="shared" si="38"/>
        <v>6.8766482719050104E-4</v>
      </c>
      <c r="AS72" s="113">
        <f t="shared" si="38"/>
        <v>3.7629271099847312E-4</v>
      </c>
      <c r="AT72" s="113">
        <f t="shared" si="38"/>
        <v>2.3765977830273206E-4</v>
      </c>
      <c r="AU72" s="113">
        <f t="shared" si="38"/>
        <v>1.6471256374341918E-4</v>
      </c>
      <c r="AV72" s="113">
        <f t="shared" si="38"/>
        <v>1.2196898997762857E-4</v>
      </c>
      <c r="AW72" s="113">
        <f t="shared" si="38"/>
        <v>9.4975385209261412E-5</v>
      </c>
      <c r="AX72" s="113">
        <f t="shared" si="38"/>
        <v>7.6968809094110855E-5</v>
      </c>
      <c r="AY72" s="113">
        <f t="shared" si="38"/>
        <v>6.4451445227368072E-5</v>
      </c>
      <c r="AZ72" s="113">
        <f t="shared" si="38"/>
        <v>5.5471269947002128E-5</v>
      </c>
      <c r="BA72" s="113">
        <f t="shared" si="38"/>
        <v>4.8871746556716478E-5</v>
      </c>
      <c r="BB72" s="113">
        <f t="shared" si="38"/>
        <v>4.3933666860189262E-5</v>
      </c>
      <c r="BC72" s="113">
        <f t="shared" si="38"/>
        <v>4.0191506158936076E-5</v>
      </c>
      <c r="BD72" s="113">
        <f t="shared" si="38"/>
        <v>3.7333586738435652E-5</v>
      </c>
      <c r="BE72" s="113">
        <f t="shared" si="38"/>
        <v>3.5145087882017984E-5</v>
      </c>
      <c r="BF72" s="113">
        <f t="shared" si="38"/>
        <v>3.3474138635218843E-5</v>
      </c>
      <c r="BG72" s="113">
        <f t="shared" si="38"/>
        <v>3.2210912154563787E-5</v>
      </c>
      <c r="BH72" s="113">
        <f t="shared" si="38"/>
        <v>3.1274329543169106E-5</v>
      </c>
      <c r="BI72" s="113">
        <f t="shared" si="38"/>
        <v>3.0603368426000487E-5</v>
      </c>
    </row>
    <row r="73" spans="1:61">
      <c r="AF73" s="111">
        <f t="shared" si="37"/>
        <v>2.8771708439002015E-3</v>
      </c>
      <c r="AH73" s="113">
        <f t="shared" si="38"/>
        <v>2.4957652955068113E-4</v>
      </c>
      <c r="AI73" s="113">
        <f t="shared" si="38"/>
        <v>1.8871398981691221E-4</v>
      </c>
      <c r="AJ73" s="113">
        <f t="shared" si="38"/>
        <v>1.513500944526161E-4</v>
      </c>
      <c r="AK73" s="113">
        <f t="shared" si="38"/>
        <v>1.2680157907555946E-4</v>
      </c>
      <c r="AL73" s="113">
        <f t="shared" si="38"/>
        <v>1.0986424466434766E-4</v>
      </c>
      <c r="AM73" s="113">
        <f t="shared" si="38"/>
        <v>9.7749103472266754E-5</v>
      </c>
      <c r="AN73" s="113">
        <f t="shared" si="38"/>
        <v>8.8848119702840197E-5</v>
      </c>
      <c r="AO73" s="113">
        <f t="shared" si="38"/>
        <v>8.2178692700453988E-5</v>
      </c>
      <c r="AP73" s="113">
        <f t="shared" si="38"/>
        <v>7.711114424738418E-5</v>
      </c>
      <c r="AQ73" s="113">
        <f t="shared" si="38"/>
        <v>7.322548176634198E-5</v>
      </c>
      <c r="AR73" s="113">
        <f t="shared" si="38"/>
        <v>4.9855236052448047E-4</v>
      </c>
      <c r="AS73" s="113">
        <f t="shared" si="38"/>
        <v>2.7293849938013096E-4</v>
      </c>
      <c r="AT73" s="113">
        <f t="shared" si="38"/>
        <v>1.7258141910774853E-4</v>
      </c>
      <c r="AU73" s="113">
        <f t="shared" si="38"/>
        <v>1.1988481388572203E-4</v>
      </c>
      <c r="AV73" s="113">
        <f t="shared" si="38"/>
        <v>8.9095772337171024E-5</v>
      </c>
      <c r="AW73" s="113">
        <f t="shared" si="38"/>
        <v>6.9722252782598355E-5</v>
      </c>
      <c r="AX73" s="113">
        <f t="shared" si="38"/>
        <v>5.6857447890182626E-5</v>
      </c>
      <c r="AY73" s="113">
        <f t="shared" si="38"/>
        <v>4.7965857077141618E-5</v>
      </c>
      <c r="AZ73" s="113">
        <f t="shared" si="38"/>
        <v>4.163418740302262E-5</v>
      </c>
      <c r="BA73" s="113">
        <f t="shared" si="38"/>
        <v>3.7026263011542735E-5</v>
      </c>
      <c r="BB73" s="113">
        <f t="shared" si="38"/>
        <v>3.3622903557702309E-5</v>
      </c>
      <c r="BC73" s="113">
        <f t="shared" si="38"/>
        <v>3.1088613544866616E-5</v>
      </c>
      <c r="BD73" s="113">
        <f t="shared" si="38"/>
        <v>2.9199155636447509E-5</v>
      </c>
      <c r="BE73" s="113">
        <f t="shared" si="38"/>
        <v>2.7800237332917585E-5</v>
      </c>
      <c r="BF73" s="113">
        <f t="shared" si="38"/>
        <v>2.6782950061874839E-5</v>
      </c>
      <c r="BG73" s="113">
        <f t="shared" si="38"/>
        <v>2.6068637887272133E-5</v>
      </c>
      <c r="BH73" s="113">
        <f t="shared" si="38"/>
        <v>2.5599280819382633E-5</v>
      </c>
      <c r="BI73" s="113">
        <f t="shared" si="38"/>
        <v>2.5331212210592034E-5</v>
      </c>
    </row>
    <row r="74" spans="1:61">
      <c r="AF74" s="111">
        <f t="shared" si="37"/>
        <v>2.1297619925557546E-3</v>
      </c>
      <c r="AH74" s="113">
        <f t="shared" si="38"/>
        <v>1.8817868350061174E-4</v>
      </c>
      <c r="AI74" s="113">
        <f t="shared" si="38"/>
        <v>1.4411956814801719E-4</v>
      </c>
      <c r="AJ74" s="113">
        <f t="shared" si="38"/>
        <v>1.1711259767990451E-4</v>
      </c>
      <c r="AK74" s="113">
        <f t="shared" si="38"/>
        <v>9.9424011974796035E-5</v>
      </c>
      <c r="AL74" s="113">
        <f t="shared" si="38"/>
        <v>8.7284037327125982E-5</v>
      </c>
      <c r="AM74" s="113">
        <f t="shared" si="38"/>
        <v>7.8670446377428324E-5</v>
      </c>
      <c r="AN74" s="113">
        <f t="shared" si="38"/>
        <v>7.2415838959603453E-5</v>
      </c>
      <c r="AO74" s="113">
        <f t="shared" si="38"/>
        <v>6.7805778462829347E-5</v>
      </c>
      <c r="AP74" s="113">
        <f t="shared" si="38"/>
        <v>6.4381573533235124E-5</v>
      </c>
      <c r="AQ74" s="113">
        <f t="shared" si="38"/>
        <v>6.1836554703719165E-5</v>
      </c>
      <c r="AR74" s="113">
        <f t="shared" si="38"/>
        <v>3.4306961730622398E-4</v>
      </c>
      <c r="AS74" s="113">
        <f t="shared" si="38"/>
        <v>1.8777448982188087E-4</v>
      </c>
      <c r="AT74" s="113">
        <f t="shared" si="38"/>
        <v>1.1885915086339606E-4</v>
      </c>
      <c r="AU74" s="113">
        <f t="shared" si="38"/>
        <v>8.280122431986937E-5</v>
      </c>
      <c r="AV74" s="113">
        <f t="shared" si="38"/>
        <v>6.1828639618385944E-5</v>
      </c>
      <c r="AW74" s="113">
        <f t="shared" si="38"/>
        <v>4.8705612451188731E-5</v>
      </c>
      <c r="AX74" s="113">
        <f t="shared" si="38"/>
        <v>4.0052632377930845E-5</v>
      </c>
      <c r="AY74" s="113">
        <f t="shared" si="38"/>
        <v>3.4126439629349165E-5</v>
      </c>
      <c r="AZ74" s="113">
        <f t="shared" si="38"/>
        <v>2.9957326455730786E-5</v>
      </c>
      <c r="BA74" s="113">
        <f t="shared" si="38"/>
        <v>2.6972872954057146E-5</v>
      </c>
      <c r="BB74" s="113">
        <f t="shared" si="38"/>
        <v>2.4818539506743691E-5</v>
      </c>
      <c r="BC74" s="113">
        <f t="shared" si="38"/>
        <v>2.3265815886948668E-5</v>
      </c>
      <c r="BD74" s="113">
        <f t="shared" si="38"/>
        <v>2.2162377415505402E-5</v>
      </c>
      <c r="BE74" s="113">
        <f t="shared" si="38"/>
        <v>2.140368870493218E-5</v>
      </c>
      <c r="BF74" s="113">
        <f t="shared" si="38"/>
        <v>2.0916143467110741E-5</v>
      </c>
      <c r="BG74" s="113">
        <f t="shared" si="38"/>
        <v>2.0646690136081091E-5</v>
      </c>
      <c r="BH74" s="113">
        <f t="shared" si="38"/>
        <v>2.0556245537187809E-5</v>
      </c>
      <c r="BI74" s="113">
        <f t="shared" si="38"/>
        <v>2.0615395435961084E-5</v>
      </c>
    </row>
    <row r="75" spans="1:61">
      <c r="AF75" s="111">
        <f t="shared" si="37"/>
        <v>1.509667451371634E-3</v>
      </c>
      <c r="AH75" s="113">
        <f t="shared" si="38"/>
        <v>1.3584677376034506E-4</v>
      </c>
      <c r="AI75" s="113">
        <f t="shared" si="38"/>
        <v>1.0584296329805357E-4</v>
      </c>
      <c r="AJ75" s="113">
        <f t="shared" si="38"/>
        <v>8.7507573178141263E-5</v>
      </c>
      <c r="AK75" s="113">
        <f t="shared" si="38"/>
        <v>7.5570895070170864E-5</v>
      </c>
      <c r="AL75" s="113">
        <f t="shared" si="38"/>
        <v>6.7460586057146966E-5</v>
      </c>
      <c r="AM75" s="113">
        <f t="shared" si="38"/>
        <v>6.1794347444988414E-5</v>
      </c>
      <c r="AN75" s="113">
        <f t="shared" si="38"/>
        <v>5.7772575298682203E-5</v>
      </c>
      <c r="AO75" s="113">
        <f t="shared" si="38"/>
        <v>5.4904757581272957E-5</v>
      </c>
      <c r="AP75" s="113">
        <f t="shared" si="38"/>
        <v>5.2875070803669633E-5</v>
      </c>
      <c r="AQ75" s="113">
        <f t="shared" si="38"/>
        <v>5.1471610401663042E-5</v>
      </c>
      <c r="AR75" s="113">
        <f t="shared" si="38"/>
        <v>2.1925929330024124E-4</v>
      </c>
      <c r="AS75" s="113">
        <f t="shared" si="38"/>
        <v>1.19843328350928E-4</v>
      </c>
      <c r="AT75" s="113">
        <f t="shared" si="38"/>
        <v>7.5933283456843073E-5</v>
      </c>
      <c r="AU75" s="113">
        <f t="shared" si="38"/>
        <v>5.3097942946345297E-5</v>
      </c>
      <c r="AV75" s="113">
        <f t="shared" si="38"/>
        <v>3.9914100248932681E-5</v>
      </c>
      <c r="AW75" s="113">
        <f t="shared" si="38"/>
        <v>3.1740200612274037E-5</v>
      </c>
      <c r="AX75" s="113">
        <f t="shared" si="38"/>
        <v>2.6414222614220391E-5</v>
      </c>
      <c r="AY75" s="113">
        <f t="shared" si="38"/>
        <v>2.2824463367606319E-5</v>
      </c>
      <c r="AZ75" s="113">
        <f t="shared" si="38"/>
        <v>2.0354715789771763E-5</v>
      </c>
      <c r="BA75" s="113">
        <f t="shared" si="38"/>
        <v>1.8642632133063649E-5</v>
      </c>
      <c r="BB75" s="113">
        <f t="shared" si="38"/>
        <v>1.7464707683875423E-5</v>
      </c>
      <c r="BC75" s="113">
        <f t="shared" si="38"/>
        <v>1.6677509895167023E-5</v>
      </c>
      <c r="BD75" s="113">
        <f t="shared" si="38"/>
        <v>1.6185851720832766E-5</v>
      </c>
      <c r="BE75" s="113">
        <f t="shared" si="38"/>
        <v>1.5924698495037565E-5</v>
      </c>
      <c r="BF75" s="113">
        <f t="shared" si="38"/>
        <v>1.5848447839955588E-5</v>
      </c>
      <c r="BG75" s="113">
        <f t="shared" si="38"/>
        <v>1.5924346320151012E-5</v>
      </c>
      <c r="BH75" s="113">
        <f t="shared" si="38"/>
        <v>1.6128316717278145E-5</v>
      </c>
      <c r="BI75" s="113">
        <f t="shared" si="38"/>
        <v>1.6442236984975873E-5</v>
      </c>
    </row>
    <row r="76" spans="1:61">
      <c r="AF76" s="111">
        <f t="shared" si="37"/>
        <v>1.0112074114395331E-3</v>
      </c>
      <c r="AH76" s="113">
        <f t="shared" si="38"/>
        <v>9.2423164693413386E-5</v>
      </c>
      <c r="AI76" s="113">
        <f t="shared" si="38"/>
        <v>7.3771046406887389E-5</v>
      </c>
      <c r="AJ76" s="113">
        <f t="shared" si="38"/>
        <v>6.2453626687057127E-5</v>
      </c>
      <c r="AK76" s="113">
        <f t="shared" si="38"/>
        <v>5.5183632208528221E-5</v>
      </c>
      <c r="AL76" s="113">
        <f t="shared" si="38"/>
        <v>5.0351982335744012E-5</v>
      </c>
      <c r="AM76" s="113">
        <f t="shared" si="38"/>
        <v>4.7091357429498278E-5</v>
      </c>
      <c r="AN76" s="113">
        <f t="shared" si="38"/>
        <v>4.4898351139309526E-5</v>
      </c>
      <c r="AO76" s="113">
        <f t="shared" si="38"/>
        <v>4.3462965240700754E-5</v>
      </c>
      <c r="AP76" s="113">
        <f t="shared" si="38"/>
        <v>4.2584689564768388E-5</v>
      </c>
      <c r="AQ76" s="113">
        <f t="shared" si="38"/>
        <v>4.2128218767884518E-5</v>
      </c>
      <c r="AR76" s="113">
        <f t="shared" si="38"/>
        <v>1.2512482542196323E-4</v>
      </c>
      <c r="AS76" s="113">
        <f t="shared" si="38"/>
        <v>6.8150293042417876E-5</v>
      </c>
      <c r="AT76" s="113">
        <f t="shared" si="38"/>
        <v>4.3215173034740106E-5</v>
      </c>
      <c r="AU76" s="113">
        <f t="shared" si="38"/>
        <v>3.0388898051491645E-5</v>
      </c>
      <c r="AV76" s="113">
        <f t="shared" si="38"/>
        <v>2.3081286838235284E-5</v>
      </c>
      <c r="AW76" s="113">
        <f t="shared" si="38"/>
        <v>1.8626851266355991E-5</v>
      </c>
      <c r="AX76" s="113">
        <f t="shared" si="38"/>
        <v>1.5790711665268999E-5</v>
      </c>
      <c r="AY76" s="113">
        <f t="shared" si="38"/>
        <v>1.3941723202505573E-5</v>
      </c>
      <c r="AZ76" s="113">
        <f t="shared" si="38"/>
        <v>1.2732349880162258E-5</v>
      </c>
      <c r="BA76" s="113">
        <f t="shared" si="38"/>
        <v>1.1959682274735635E-5</v>
      </c>
      <c r="BB76" s="113">
        <f t="shared" si="38"/>
        <v>1.1499513276452697E-5</v>
      </c>
      <c r="BC76" s="113">
        <f t="shared" si="38"/>
        <v>1.1272777044223357E-5</v>
      </c>
      <c r="BD76" s="113">
        <f t="shared" si="38"/>
        <v>1.1227444354267799E-5</v>
      </c>
      <c r="BE76" s="113">
        <f t="shared" si="38"/>
        <v>1.1328270163578689E-5</v>
      </c>
      <c r="BF76" s="113">
        <f t="shared" si="38"/>
        <v>1.1550741737778972E-5</v>
      </c>
      <c r="BG76" s="113">
        <f t="shared" si="38"/>
        <v>1.1877374482005045E-5</v>
      </c>
      <c r="BH76" s="113">
        <f t="shared" si="38"/>
        <v>1.2295370079143566E-5</v>
      </c>
      <c r="BI76" s="113">
        <f t="shared" si="38"/>
        <v>1.2795091150414533E-5</v>
      </c>
    </row>
    <row r="98" spans="1:11">
      <c r="A98" s="112"/>
      <c r="B98" s="112"/>
      <c r="C98" s="112"/>
      <c r="D98" s="112"/>
      <c r="E98" s="112"/>
      <c r="F98" s="112"/>
      <c r="G98" s="112"/>
      <c r="H98" s="112"/>
      <c r="I98" s="112"/>
      <c r="J98" s="112"/>
    </row>
    <row r="99" spans="1:11">
      <c r="A99" s="123"/>
      <c r="B99" s="110"/>
      <c r="C99" s="113"/>
      <c r="D99" s="113"/>
      <c r="E99" s="113"/>
      <c r="F99" s="113"/>
      <c r="G99" s="113"/>
      <c r="H99" s="113"/>
      <c r="I99" s="113"/>
      <c r="J99" s="113"/>
      <c r="K99" s="112"/>
    </row>
    <row r="100" spans="1:11">
      <c r="A100" s="123"/>
      <c r="B100" s="110"/>
      <c r="C100" s="113"/>
      <c r="D100" s="113"/>
      <c r="E100" s="113"/>
      <c r="F100" s="113"/>
      <c r="G100" s="113"/>
      <c r="H100" s="113"/>
      <c r="I100" s="113"/>
      <c r="J100" s="113"/>
      <c r="K100" s="111"/>
    </row>
    <row r="101" spans="1:11">
      <c r="A101" s="123"/>
      <c r="B101" s="110"/>
      <c r="C101" s="113"/>
      <c r="D101" s="113"/>
      <c r="E101" s="113"/>
      <c r="F101" s="113"/>
      <c r="G101" s="113"/>
      <c r="H101" s="113"/>
      <c r="I101" s="113"/>
      <c r="J101" s="113"/>
      <c r="K101" s="111"/>
    </row>
    <row r="102" spans="1:11">
      <c r="A102" s="123"/>
      <c r="B102" s="110"/>
      <c r="C102" s="113"/>
      <c r="D102" s="113"/>
      <c r="E102" s="113"/>
      <c r="F102" s="113"/>
      <c r="G102" s="113"/>
      <c r="H102" s="113"/>
      <c r="I102" s="113"/>
      <c r="J102" s="113"/>
      <c r="K102" s="111"/>
    </row>
    <row r="103" spans="1:11">
      <c r="A103" s="123"/>
      <c r="B103" s="110"/>
      <c r="C103" s="113"/>
      <c r="D103" s="113"/>
      <c r="E103" s="113"/>
      <c r="F103" s="113"/>
      <c r="G103" s="113"/>
      <c r="H103" s="113"/>
      <c r="I103" s="113"/>
      <c r="J103" s="113"/>
      <c r="K103" s="111"/>
    </row>
    <row r="104" spans="1:11">
      <c r="A104" s="123"/>
      <c r="B104" s="110"/>
      <c r="C104" s="113"/>
      <c r="D104" s="113"/>
      <c r="E104" s="113"/>
      <c r="F104" s="113"/>
      <c r="G104" s="113"/>
      <c r="H104" s="113"/>
      <c r="I104" s="113"/>
      <c r="J104" s="113"/>
      <c r="K104" s="111"/>
    </row>
    <row r="105" spans="1:11">
      <c r="A105" s="123"/>
      <c r="B105" s="110"/>
      <c r="C105" s="113"/>
      <c r="D105" s="113"/>
      <c r="E105" s="113"/>
      <c r="F105" s="113"/>
      <c r="G105" s="113"/>
      <c r="H105" s="113"/>
      <c r="I105" s="113"/>
      <c r="J105" s="113"/>
      <c r="K105" s="111"/>
    </row>
    <row r="106" spans="1:11">
      <c r="A106" s="123"/>
      <c r="B106" s="110"/>
      <c r="C106" s="113"/>
      <c r="D106" s="113"/>
      <c r="E106" s="113"/>
      <c r="F106" s="113"/>
      <c r="G106" s="113"/>
      <c r="H106" s="113"/>
      <c r="I106" s="113"/>
      <c r="J106" s="113"/>
      <c r="K106" s="111"/>
    </row>
    <row r="107" spans="1:11">
      <c r="A107" s="123"/>
      <c r="B107" s="110"/>
      <c r="C107" s="113"/>
      <c r="D107" s="113"/>
      <c r="E107" s="113"/>
      <c r="F107" s="113"/>
      <c r="G107" s="113"/>
      <c r="H107" s="113"/>
      <c r="I107" s="113"/>
      <c r="J107" s="113"/>
      <c r="K107" s="111"/>
    </row>
    <row r="108" spans="1:11">
      <c r="A108" s="123"/>
      <c r="B108" s="110"/>
      <c r="C108" s="113"/>
      <c r="D108" s="113"/>
      <c r="E108" s="113"/>
      <c r="F108" s="113"/>
      <c r="G108" s="113"/>
      <c r="H108" s="113"/>
      <c r="I108" s="113"/>
      <c r="J108" s="113"/>
      <c r="K108" s="111"/>
    </row>
    <row r="109" spans="1:11">
      <c r="A109" s="123"/>
      <c r="B109" s="110"/>
      <c r="C109" s="113"/>
      <c r="D109" s="113"/>
      <c r="E109" s="113"/>
      <c r="F109" s="113"/>
      <c r="G109" s="113"/>
      <c r="H109" s="113"/>
      <c r="I109" s="113"/>
      <c r="J109" s="113"/>
      <c r="K109" s="111"/>
    </row>
    <row r="110" spans="1:11">
      <c r="A110" s="123"/>
      <c r="B110" s="110"/>
      <c r="C110" s="113"/>
      <c r="D110" s="113"/>
      <c r="E110" s="113"/>
      <c r="F110" s="113"/>
      <c r="G110" s="113"/>
      <c r="H110" s="113"/>
      <c r="I110" s="113"/>
      <c r="J110" s="113"/>
      <c r="K110" s="111"/>
    </row>
    <row r="111" spans="1:11">
      <c r="A111" s="123"/>
      <c r="B111" s="110"/>
      <c r="C111" s="113"/>
      <c r="D111" s="113"/>
      <c r="E111" s="113"/>
      <c r="F111" s="113"/>
      <c r="G111" s="113"/>
      <c r="H111" s="113"/>
      <c r="I111" s="113"/>
      <c r="J111" s="113"/>
      <c r="K111" s="111"/>
    </row>
    <row r="112" spans="1:11">
      <c r="A112" s="123"/>
      <c r="B112" s="110"/>
      <c r="C112" s="113"/>
      <c r="D112" s="113"/>
      <c r="E112" s="113"/>
      <c r="F112" s="113"/>
      <c r="G112" s="113"/>
      <c r="H112" s="113"/>
      <c r="I112" s="113"/>
      <c r="J112" s="113"/>
      <c r="K112" s="111"/>
    </row>
    <row r="113" spans="1:18">
      <c r="A113" s="123"/>
      <c r="B113" s="110"/>
      <c r="C113" s="113"/>
      <c r="D113" s="113"/>
      <c r="E113" s="113"/>
      <c r="F113" s="113"/>
      <c r="G113" s="113"/>
      <c r="H113" s="113"/>
      <c r="I113" s="113"/>
      <c r="J113" s="113"/>
    </row>
    <row r="114" spans="1:18">
      <c r="A114" s="123"/>
      <c r="B114" s="110"/>
      <c r="C114" s="113"/>
      <c r="D114" s="113"/>
      <c r="E114" s="113"/>
      <c r="F114" s="113"/>
      <c r="G114" s="113"/>
      <c r="H114" s="113"/>
      <c r="I114" s="113"/>
      <c r="J114" s="113"/>
      <c r="K114" s="111"/>
      <c r="M114" s="111"/>
      <c r="N114" s="111"/>
      <c r="O114" s="111"/>
      <c r="P114" s="111"/>
      <c r="Q114" s="111"/>
      <c r="R114" s="111"/>
    </row>
    <row r="115" spans="1:18">
      <c r="A115" s="123"/>
      <c r="B115" s="110"/>
      <c r="C115" s="113"/>
      <c r="D115" s="113"/>
      <c r="E115" s="113"/>
      <c r="F115" s="113"/>
      <c r="G115" s="113"/>
      <c r="H115" s="113"/>
      <c r="I115" s="113"/>
      <c r="J115" s="113"/>
      <c r="K115" s="111"/>
      <c r="M115" s="111"/>
      <c r="N115" s="111"/>
      <c r="O115" s="111"/>
      <c r="P115" s="111"/>
      <c r="Q115" s="111"/>
      <c r="R115" s="111"/>
    </row>
    <row r="116" spans="1:18">
      <c r="A116" s="123"/>
      <c r="B116" s="110"/>
      <c r="C116" s="113"/>
      <c r="D116" s="113"/>
      <c r="E116" s="113"/>
      <c r="F116" s="113"/>
      <c r="G116" s="113"/>
      <c r="H116" s="113"/>
      <c r="I116" s="113"/>
      <c r="J116" s="113"/>
      <c r="K116" s="111"/>
      <c r="M116" s="111"/>
      <c r="N116" s="111"/>
      <c r="O116" s="111"/>
      <c r="P116" s="111"/>
      <c r="Q116" s="111"/>
      <c r="R116" s="111"/>
    </row>
    <row r="117" spans="1:18">
      <c r="A117" s="111"/>
      <c r="B117" s="110"/>
      <c r="C117" s="110"/>
      <c r="F117" s="115"/>
      <c r="G117" s="111"/>
      <c r="K117" s="111"/>
      <c r="M117" s="111"/>
      <c r="N117" s="111"/>
      <c r="O117" s="111"/>
      <c r="P117" s="111"/>
      <c r="Q117" s="111"/>
      <c r="R117" s="111"/>
    </row>
    <row r="118" spans="1:18">
      <c r="A118" s="111"/>
      <c r="B118" s="110"/>
      <c r="C118" s="111"/>
      <c r="D118" s="111"/>
      <c r="E118" s="111"/>
      <c r="F118" s="111"/>
      <c r="G118" s="111"/>
      <c r="H118" s="111"/>
      <c r="I118" s="111"/>
      <c r="J118" s="111"/>
      <c r="K118" s="111"/>
      <c r="M118" s="111"/>
      <c r="N118" s="111"/>
      <c r="O118" s="111"/>
      <c r="P118" s="111"/>
      <c r="Q118" s="111"/>
      <c r="R118" s="111"/>
    </row>
    <row r="119" spans="1:18">
      <c r="A119" s="111"/>
      <c r="B119" s="110"/>
      <c r="C119" s="111"/>
      <c r="D119" s="111"/>
      <c r="E119" s="111"/>
      <c r="F119" s="111"/>
      <c r="G119" s="111"/>
      <c r="H119" s="111"/>
      <c r="I119" s="111"/>
      <c r="J119" s="111"/>
      <c r="K119" s="111"/>
      <c r="M119" s="111"/>
      <c r="N119" s="111"/>
      <c r="O119" s="111"/>
      <c r="P119" s="111"/>
      <c r="Q119" s="111"/>
      <c r="R119" s="111"/>
    </row>
    <row r="120" spans="1:18">
      <c r="K120" s="111"/>
      <c r="L120" s="124"/>
      <c r="M120" s="125"/>
      <c r="N120" s="125"/>
      <c r="O120" s="111"/>
      <c r="P120" s="125"/>
      <c r="Q120" s="111"/>
      <c r="R120" s="111"/>
    </row>
    <row r="121" spans="1:18">
      <c r="K121" s="111"/>
      <c r="M121" s="111"/>
      <c r="N121" s="111"/>
      <c r="O121" s="111"/>
      <c r="P121" s="111"/>
      <c r="Q121" s="111"/>
      <c r="R121" s="111"/>
    </row>
    <row r="122" spans="1:18">
      <c r="K122" s="111"/>
      <c r="M122" s="111"/>
      <c r="N122" s="111"/>
      <c r="O122" s="111"/>
      <c r="P122" s="111"/>
      <c r="Q122" s="111"/>
      <c r="R122" s="111"/>
    </row>
    <row r="123" spans="1:18">
      <c r="K123" s="111"/>
      <c r="M123" s="111"/>
      <c r="N123" s="111"/>
      <c r="O123" s="111"/>
      <c r="P123" s="111"/>
      <c r="Q123" s="111"/>
      <c r="R123" s="111"/>
    </row>
    <row r="124" spans="1:18">
      <c r="K124" s="111"/>
      <c r="M124" s="111"/>
      <c r="N124" s="111"/>
      <c r="O124" s="111"/>
      <c r="P124" s="111"/>
      <c r="Q124" s="111"/>
      <c r="R124" s="111"/>
    </row>
    <row r="125" spans="1:18">
      <c r="K125" s="111"/>
      <c r="M125" s="111"/>
      <c r="N125" s="111"/>
      <c r="O125" s="111"/>
      <c r="P125" s="111"/>
      <c r="Q125" s="111"/>
      <c r="R125" s="111"/>
    </row>
  </sheetData>
  <dataConsolidate/>
  <phoneticPr fontId="26" type="noConversion"/>
  <printOptions gridLines="1" gridLinesSet="0"/>
  <pageMargins left="0.75" right="0.37" top="0.66" bottom="0.72" header="0.5" footer="0.5"/>
  <headerFooter alignWithMargins="0">
    <oddHeader>&amp;F</oddHeader>
    <oddFooter>&amp;LDr. David Content&amp;CPage &amp;P&amp;R&amp;D</oddFooter>
  </headerFooter>
  <drawing r:id="rId1"/>
  <legacyDrawing r:id="rId2"/>
  <oleObjects>
    <oleObject progId="Word.Document.6" shapeId="463873" r:id="rId3"/>
  </oleObjects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20" enableFormatConditionsCalculation="0"/>
  <dimension ref="A1:B22"/>
  <sheetViews>
    <sheetView workbookViewId="0">
      <selection activeCell="L12" sqref="L12"/>
    </sheetView>
  </sheetViews>
  <sheetFormatPr baseColWidth="10" defaultColWidth="8.83203125" defaultRowHeight="12"/>
  <sheetData>
    <row r="1" spans="1:2">
      <c r="A1" t="s">
        <v>330</v>
      </c>
      <c r="B1" t="s">
        <v>332</v>
      </c>
    </row>
    <row r="2" spans="1:2">
      <c r="A2" s="1" t="s">
        <v>331</v>
      </c>
      <c r="B2" t="s">
        <v>333</v>
      </c>
    </row>
    <row r="3" spans="1:2">
      <c r="A3">
        <v>100</v>
      </c>
      <c r="B3">
        <f>1/A3*10000</f>
        <v>100</v>
      </c>
    </row>
    <row r="4" spans="1:2">
      <c r="A4">
        <v>200</v>
      </c>
      <c r="B4" s="2">
        <f t="shared" ref="B4:B22" si="0">1/A4*10000</f>
        <v>50</v>
      </c>
    </row>
    <row r="5" spans="1:2">
      <c r="A5">
        <v>250</v>
      </c>
      <c r="B5" s="2">
        <f t="shared" si="0"/>
        <v>40</v>
      </c>
    </row>
    <row r="6" spans="1:2">
      <c r="A6">
        <v>300</v>
      </c>
      <c r="B6" s="2">
        <f t="shared" si="0"/>
        <v>33.333333333333336</v>
      </c>
    </row>
    <row r="7" spans="1:2">
      <c r="A7">
        <v>500</v>
      </c>
      <c r="B7" s="2">
        <f t="shared" si="0"/>
        <v>20</v>
      </c>
    </row>
    <row r="8" spans="1:2">
      <c r="A8">
        <v>600</v>
      </c>
      <c r="B8" s="2">
        <f t="shared" si="0"/>
        <v>16.666666666666668</v>
      </c>
    </row>
    <row r="9" spans="1:2">
      <c r="A9">
        <v>750</v>
      </c>
      <c r="B9" s="2">
        <f t="shared" si="0"/>
        <v>13.333333333333332</v>
      </c>
    </row>
    <row r="10" spans="1:2">
      <c r="A10">
        <v>1000</v>
      </c>
      <c r="B10" s="2">
        <f t="shared" si="0"/>
        <v>10</v>
      </c>
    </row>
    <row r="11" spans="1:2">
      <c r="A11">
        <v>1250</v>
      </c>
      <c r="B11" s="2">
        <f t="shared" si="0"/>
        <v>8</v>
      </c>
    </row>
    <row r="12" spans="1:2">
      <c r="A12">
        <v>1500</v>
      </c>
      <c r="B12" s="2">
        <f t="shared" si="0"/>
        <v>6.6666666666666661</v>
      </c>
    </row>
    <row r="13" spans="1:2">
      <c r="A13">
        <v>1750</v>
      </c>
      <c r="B13" s="2">
        <f t="shared" si="0"/>
        <v>5.7142857142857144</v>
      </c>
    </row>
    <row r="14" spans="1:2">
      <c r="A14">
        <v>2000</v>
      </c>
      <c r="B14" s="2">
        <f t="shared" si="0"/>
        <v>5</v>
      </c>
    </row>
    <row r="15" spans="1:2">
      <c r="A15">
        <v>2500</v>
      </c>
      <c r="B15" s="2">
        <f t="shared" si="0"/>
        <v>4</v>
      </c>
    </row>
    <row r="16" spans="1:2">
      <c r="A16">
        <v>3000</v>
      </c>
      <c r="B16" s="2">
        <f t="shared" si="0"/>
        <v>3.333333333333333</v>
      </c>
    </row>
    <row r="17" spans="1:2">
      <c r="A17">
        <v>4000</v>
      </c>
      <c r="B17" s="2">
        <f t="shared" si="0"/>
        <v>2.5</v>
      </c>
    </row>
    <row r="18" spans="1:2">
      <c r="A18" s="19">
        <v>5000</v>
      </c>
      <c r="B18" s="33">
        <f t="shared" si="0"/>
        <v>2</v>
      </c>
    </row>
    <row r="19" spans="1:2">
      <c r="A19" s="19">
        <v>6000</v>
      </c>
      <c r="B19" s="33">
        <f t="shared" si="0"/>
        <v>1.6666666666666665</v>
      </c>
    </row>
    <row r="20" spans="1:2">
      <c r="A20" s="19">
        <v>7700</v>
      </c>
      <c r="B20" s="34">
        <f t="shared" si="0"/>
        <v>1.2987012987012987</v>
      </c>
    </row>
    <row r="21" spans="1:2">
      <c r="A21">
        <v>8000</v>
      </c>
      <c r="B21" s="3">
        <f t="shared" si="0"/>
        <v>1.25</v>
      </c>
    </row>
    <row r="22" spans="1:2">
      <c r="A22">
        <v>10000</v>
      </c>
      <c r="B22" s="2">
        <f t="shared" si="0"/>
        <v>1</v>
      </c>
    </row>
  </sheetData>
  <phoneticPr fontId="4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61"/>
  <sheetViews>
    <sheetView zoomScale="75" zoomScaleNormal="75" zoomScalePageLayoutView="75" workbookViewId="0">
      <selection activeCell="O5" sqref="O5"/>
    </sheetView>
  </sheetViews>
  <sheetFormatPr baseColWidth="10" defaultColWidth="8.83203125" defaultRowHeight="12"/>
  <cols>
    <col min="1" max="1" width="11.33203125" customWidth="1"/>
    <col min="2" max="2" width="12.6640625" customWidth="1"/>
    <col min="3" max="3" width="12" customWidth="1"/>
    <col min="4" max="4" width="16" customWidth="1"/>
    <col min="5" max="5" width="10.6640625" customWidth="1"/>
    <col min="6" max="6" width="9.6640625" customWidth="1"/>
    <col min="7" max="7" width="9.83203125" customWidth="1"/>
    <col min="8" max="8" width="11.6640625" customWidth="1"/>
    <col min="9" max="9" width="12.5" customWidth="1"/>
    <col min="10" max="10" width="10.1640625" customWidth="1"/>
    <col min="11" max="11" width="9.6640625" customWidth="1"/>
    <col min="12" max="12" width="12" bestFit="1" customWidth="1"/>
    <col min="13" max="13" width="12.1640625" customWidth="1"/>
    <col min="14" max="14" width="10.33203125" customWidth="1"/>
  </cols>
  <sheetData>
    <row r="1" spans="1:15" ht="15.75" customHeight="1" thickBot="1">
      <c r="A1" s="30" t="s">
        <v>309</v>
      </c>
      <c r="G1" t="s">
        <v>238</v>
      </c>
      <c r="I1" s="211" t="str">
        <f ca="1">OFFSET('cycle4 AFTA filters 2'!$A$25,0,I2-1)</f>
        <v>Z087</v>
      </c>
      <c r="J1" s="212"/>
    </row>
    <row r="2" spans="1:15" ht="13" customHeight="1" thickBot="1">
      <c r="A2" s="91" t="s">
        <v>334</v>
      </c>
      <c r="B2" s="91"/>
      <c r="C2" s="91"/>
      <c r="D2" s="91"/>
      <c r="E2" s="91"/>
      <c r="F2" s="91"/>
      <c r="G2" s="91"/>
      <c r="H2" s="91" t="s">
        <v>40</v>
      </c>
      <c r="I2" s="91">
        <v>7</v>
      </c>
      <c r="J2" s="91"/>
      <c r="K2" s="91"/>
      <c r="L2" s="91"/>
      <c r="M2" s="91"/>
      <c r="N2" s="91"/>
      <c r="O2" s="91"/>
    </row>
    <row r="3" spans="1:15" ht="14" thickBot="1">
      <c r="A3" s="91"/>
      <c r="B3" s="178" t="s">
        <v>310</v>
      </c>
      <c r="C3" s="178"/>
      <c r="D3" s="178" t="s">
        <v>333</v>
      </c>
      <c r="E3" s="93">
        <f ca="1">HLOOKUP($I$1,'cycle4 AFTA filters 2'!$B$25:$G$28,2)</f>
        <v>0.76</v>
      </c>
      <c r="F3" s="128"/>
      <c r="G3" s="94"/>
      <c r="H3" s="213" t="s">
        <v>314</v>
      </c>
      <c r="I3" s="214"/>
      <c r="J3" s="214"/>
      <c r="K3" s="176" t="s">
        <v>323</v>
      </c>
      <c r="L3" s="93">
        <v>2.36</v>
      </c>
      <c r="M3" s="91" t="s">
        <v>237</v>
      </c>
      <c r="N3" s="91"/>
      <c r="O3" s="91"/>
    </row>
    <row r="4" spans="1:15" ht="13">
      <c r="A4" s="91"/>
      <c r="B4" s="178" t="s">
        <v>311</v>
      </c>
      <c r="C4" s="178"/>
      <c r="D4" s="155" t="s">
        <v>338</v>
      </c>
      <c r="E4" s="207">
        <f ca="1">HLOOKUP($I$1,'cycle4 AFTA filters 2'!$B$25:$G$28,3)</f>
        <v>0.9771428571428572</v>
      </c>
      <c r="F4" s="128"/>
      <c r="G4" s="94"/>
      <c r="H4" s="213" t="s">
        <v>313</v>
      </c>
      <c r="I4" s="213"/>
      <c r="J4" s="213"/>
      <c r="K4" s="213"/>
      <c r="L4" s="204">
        <f>F5+F6</f>
        <v>5</v>
      </c>
      <c r="M4" s="91"/>
      <c r="N4" s="105" t="s">
        <v>321</v>
      </c>
      <c r="O4" s="97">
        <f>$L$3^2*PI()/4</f>
        <v>4.3743536108584271</v>
      </c>
    </row>
    <row r="5" spans="1:15" ht="58.25" customHeight="1">
      <c r="A5" s="215">
        <v>41777</v>
      </c>
      <c r="B5" s="216"/>
      <c r="C5" s="177"/>
      <c r="D5" s="156" t="s">
        <v>19</v>
      </c>
      <c r="E5" s="99" t="s">
        <v>306</v>
      </c>
      <c r="F5" s="129">
        <v>2</v>
      </c>
      <c r="G5" s="94"/>
      <c r="H5" s="213" t="s">
        <v>195</v>
      </c>
      <c r="I5" s="213"/>
      <c r="J5" s="213"/>
      <c r="K5" s="213"/>
      <c r="L5" s="96">
        <f>ImC!$L$5</f>
        <v>0</v>
      </c>
      <c r="M5" s="91" t="s">
        <v>236</v>
      </c>
      <c r="N5" s="91"/>
      <c r="O5" s="97">
        <f ca="1">$O$4*(1-$L$6^2-$L$7-$L$8)</f>
        <v>3.5427889894342397</v>
      </c>
    </row>
    <row r="6" spans="1:15" ht="13">
      <c r="A6" s="91"/>
      <c r="B6" s="91"/>
      <c r="C6" s="91"/>
      <c r="D6" s="180" t="s">
        <v>20</v>
      </c>
      <c r="E6" s="100"/>
      <c r="F6" s="128">
        <v>3</v>
      </c>
      <c r="G6" s="94"/>
      <c r="H6" s="213" t="s">
        <v>315</v>
      </c>
      <c r="I6" s="213"/>
      <c r="J6" s="213"/>
      <c r="K6" s="213"/>
      <c r="L6" s="96">
        <v>0.31</v>
      </c>
      <c r="M6" s="91"/>
      <c r="N6" s="91"/>
      <c r="O6" s="97"/>
    </row>
    <row r="7" spans="1:15" ht="13">
      <c r="A7" s="154"/>
      <c r="B7" s="133"/>
      <c r="C7" s="133"/>
      <c r="D7" s="91" t="s">
        <v>333</v>
      </c>
      <c r="E7" s="126" t="s">
        <v>245</v>
      </c>
      <c r="F7" s="129"/>
      <c r="G7" s="91"/>
      <c r="H7" s="217" t="s">
        <v>235</v>
      </c>
      <c r="I7" s="217"/>
      <c r="J7" s="217"/>
      <c r="K7" s="217"/>
      <c r="L7" s="106">
        <v>5.3999999999999999E-2</v>
      </c>
      <c r="M7" s="91"/>
      <c r="N7" s="91"/>
      <c r="O7" s="91"/>
    </row>
    <row r="8" spans="1:15" ht="14" thickBot="1">
      <c r="A8" s="91" t="s">
        <v>248</v>
      </c>
      <c r="B8" s="91"/>
      <c r="C8" s="91"/>
      <c r="D8" s="91"/>
      <c r="E8" s="127">
        <f ca="1">1/E10</f>
        <v>3.9999999999999991</v>
      </c>
      <c r="F8" s="128"/>
      <c r="G8" s="102"/>
      <c r="H8" s="217" t="s">
        <v>234</v>
      </c>
      <c r="I8" s="217"/>
      <c r="J8" s="217"/>
      <c r="K8" s="217"/>
      <c r="L8" s="106">
        <f ca="1">OFFSET('cycle4 AFTA filters 2'!$A$25,4,'Z087'!I2-1)</f>
        <v>0.04</v>
      </c>
      <c r="M8" s="91"/>
      <c r="N8" s="91"/>
      <c r="O8" s="91"/>
    </row>
    <row r="9" spans="1:15" ht="14" thickBot="1">
      <c r="A9" s="217" t="s">
        <v>312</v>
      </c>
      <c r="B9" s="218"/>
      <c r="C9" s="179"/>
      <c r="D9" s="178" t="s">
        <v>333</v>
      </c>
      <c r="E9" s="103">
        <f ca="1">(E4-E3)/41</f>
        <v>5.2961672473867604E-3</v>
      </c>
      <c r="F9" s="103"/>
      <c r="G9" s="91"/>
      <c r="H9" s="217" t="s">
        <v>317</v>
      </c>
      <c r="I9" s="217"/>
      <c r="J9" s="217"/>
      <c r="K9" s="178"/>
      <c r="L9" s="101">
        <v>0.02</v>
      </c>
      <c r="M9" s="91"/>
      <c r="N9" s="91"/>
      <c r="O9" s="91"/>
    </row>
    <row r="10" spans="1:15" ht="14.25" customHeight="1">
      <c r="A10" s="217" t="s">
        <v>316</v>
      </c>
      <c r="B10" s="218"/>
      <c r="C10" s="179"/>
      <c r="D10" s="179"/>
      <c r="E10" s="102">
        <f ca="1">(E4-E3)/((E3+E4)/2)</f>
        <v>0.25000000000000006</v>
      </c>
      <c r="F10" s="102"/>
      <c r="G10" s="91"/>
      <c r="H10" s="91"/>
      <c r="I10" s="91" t="s">
        <v>190</v>
      </c>
      <c r="J10" s="91"/>
      <c r="K10" s="104" t="s">
        <v>186</v>
      </c>
      <c r="L10" s="96">
        <v>0</v>
      </c>
      <c r="M10" s="91"/>
      <c r="N10" s="91"/>
      <c r="O10" s="91"/>
    </row>
    <row r="11" spans="1:15" ht="14.25" customHeight="1" thickBot="1">
      <c r="A11" s="219" t="s">
        <v>247</v>
      </c>
      <c r="B11" s="220"/>
      <c r="C11" s="220"/>
      <c r="D11" s="220"/>
      <c r="E11" s="102">
        <v>0.95</v>
      </c>
      <c r="F11" s="102"/>
      <c r="G11" s="91"/>
      <c r="H11" s="91"/>
      <c r="I11" s="91"/>
      <c r="J11" s="91"/>
      <c r="K11" s="91"/>
      <c r="L11" s="91" t="s">
        <v>342</v>
      </c>
      <c r="M11" s="91"/>
      <c r="N11" s="91"/>
      <c r="O11" s="91"/>
    </row>
    <row r="12" spans="1:15" ht="64.5" customHeight="1">
      <c r="A12" s="84" t="s">
        <v>165</v>
      </c>
      <c r="B12" s="85" t="s">
        <v>0</v>
      </c>
      <c r="C12" s="85" t="s">
        <v>18</v>
      </c>
      <c r="D12" s="85" t="s">
        <v>367</v>
      </c>
      <c r="E12" s="85" t="s">
        <v>196</v>
      </c>
      <c r="F12" s="85" t="s">
        <v>189</v>
      </c>
      <c r="G12" s="85" t="s">
        <v>191</v>
      </c>
      <c r="H12" s="85" t="s">
        <v>324</v>
      </c>
      <c r="I12" s="86" t="s">
        <v>325</v>
      </c>
      <c r="J12" s="85" t="s">
        <v>183</v>
      </c>
      <c r="K12" s="85" t="s">
        <v>341</v>
      </c>
      <c r="L12" s="85" t="s">
        <v>320</v>
      </c>
      <c r="N12" s="5" t="s">
        <v>322</v>
      </c>
    </row>
    <row r="13" spans="1:15" ht="15.75" customHeight="1">
      <c r="A13" s="78">
        <f ca="1">E3</f>
        <v>0.76</v>
      </c>
      <c r="B13" s="83">
        <f ca="1">IF($A13&lt;&gt;"",IF($E$5="pAu",VLOOKUP(A13,pAg!$A$2:$C$47,3),VLOOKUP(A13,pAg!$O$3:$P1203,2)),"")</f>
        <v>0.98021674679545456</v>
      </c>
      <c r="C13" s="83">
        <f ca="1">VLOOKUP(A13,pAg!$A$7:$C$47,3)</f>
        <v>0.97499999999999998</v>
      </c>
      <c r="D13" s="87">
        <f ca="1">IF($A13&lt;&gt;"",1-VLOOKUP($N13,'AR sim'!$E$10:$F$38,2)*'Z087'!$E$10/'AR sim'!$D$42,"")</f>
        <v>0.98762499999999998</v>
      </c>
      <c r="E13" s="208">
        <f ca="1">VLOOKUP($A13,'cycle4 AFTA filters 2'!$A$34:$G$181,'Z087'!$I$2)</f>
        <v>0.20833333333333637</v>
      </c>
      <c r="F13" s="87">
        <f>IF($L$10=1, IF($K$10="R",VLOOKUP($A13,dichroic!$F$5:$H$1232,3),VLOOKUP($A13,dichroic!$F$5:$H$1232,2)),1)</f>
        <v>1</v>
      </c>
      <c r="G13" s="83">
        <f ca="1">IF($A13&lt;&gt;"",$B13^$L$4*$D13^(2*($L$5))*$E13*$F13,"")</f>
        <v>0.1885251751617886</v>
      </c>
      <c r="H13" s="83">
        <f ca="1">IF($A13&lt;&gt;"",$B13^$F$5*$C13^$F$6,"")</f>
        <v>0.89054953913984902</v>
      </c>
      <c r="I13" s="83">
        <f t="shared" ref="I13:I54" ca="1" si="0">IF($A13&lt;&gt;"",$D13^(2*($L$5))*$E13,"")</f>
        <v>0.20833333333333637</v>
      </c>
      <c r="J13" s="89">
        <f t="shared" ref="J13:J54" ca="1" si="1">IF($A13&lt;&gt;"",(1-$L$9),"")</f>
        <v>0.98</v>
      </c>
      <c r="K13" s="46">
        <f ca="1">VLOOKUP($A13,'SWIR data'!$A$5:$K$795,11)/100</f>
        <v>0.71371478480604722</v>
      </c>
      <c r="L13" s="90">
        <f t="shared" ref="L13:L54" ca="1" si="2">IF($A13&lt;&gt;"",G13*$K13*$J13*$O$5,"")</f>
        <v>0.46715974028268109</v>
      </c>
      <c r="N13" s="6">
        <f t="shared" ref="N13:N54" ca="1" si="3">($A13-$E$3)/($E$4-$E$3)</f>
        <v>0</v>
      </c>
    </row>
    <row r="14" spans="1:15" ht="15.75" customHeight="1">
      <c r="A14" s="79">
        <f t="shared" ref="A14:A54" ca="1" si="4">IF(A13&lt;&gt;"",IF(A13+$E$9&gt;$E$4,"",A13+$E$9),"")</f>
        <v>0.7652961672473868</v>
      </c>
      <c r="B14" s="83">
        <f ca="1">IF($A14&lt;&gt;"",IF($E$5="pAu",VLOOKUP(A14,pAg!$A$2:$C$47,3),VLOOKUP(A14,pAg!$O$3:$P1204,2)),"")</f>
        <v>0.98012028335454549</v>
      </c>
      <c r="C14" s="83">
        <f ca="1">VLOOKUP(A14,pAg!$A$7:$C$47,3)</f>
        <v>0.97499999999999998</v>
      </c>
      <c r="D14" s="87">
        <f ca="1">IF($A14&lt;&gt;"",1-VLOOKUP($N14,'AR sim'!$E$10:$F$38,2)*'Z087'!$E$10/'AR sim'!$D$42,"")</f>
        <v>0.98762499999999998</v>
      </c>
      <c r="E14" s="88">
        <f ca="1">VLOOKUP($A14,'cycle4 AFTA filters 2'!$A$34:$G$181,'Z087'!$I$2)</f>
        <v>0.50000000000000322</v>
      </c>
      <c r="F14" s="87">
        <f>IF($L$10=1, IF($K$10="R",VLOOKUP($A14,dichroic!$F$5:$H$1232,3),VLOOKUP($A14,dichroic!$F$5:$H$1232,2)),1)</f>
        <v>1</v>
      </c>
      <c r="G14" s="83">
        <f t="shared" ref="G14:G54" ca="1" si="5">IF($A14&lt;&gt;"",$B14^$L$4*$D14^(2*($L$5))*$E14*$F14,"")</f>
        <v>0.4522378303356181</v>
      </c>
      <c r="H14" s="83">
        <f t="shared" ref="H14:H54" ca="1" si="6">IF($A14&lt;&gt;"",$B14^$F$5*$C14^$F$6,"")</f>
        <v>0.89037426923932161</v>
      </c>
      <c r="I14" s="83">
        <f t="shared" ca="1" si="0"/>
        <v>0.50000000000000322</v>
      </c>
      <c r="J14" s="89">
        <f t="shared" ca="1" si="1"/>
        <v>0.98</v>
      </c>
      <c r="K14" s="46">
        <f ca="1">VLOOKUP($A14,'SWIR data'!$A$5:$K$795,11)/100</f>
        <v>0.71209118311846353</v>
      </c>
      <c r="L14" s="90">
        <f t="shared" ca="1" si="2"/>
        <v>1.1180825239816468</v>
      </c>
      <c r="N14" s="6">
        <f t="shared" ca="1" si="3"/>
        <v>2.4390243902439185E-2</v>
      </c>
    </row>
    <row r="15" spans="1:15" ht="16.5" customHeight="1">
      <c r="A15" s="79">
        <f t="shared" ca="1" si="4"/>
        <v>0.7705923344947736</v>
      </c>
      <c r="B15" s="83">
        <f ca="1">IF($A15&lt;&gt;"",IF($E$5="pAu",VLOOKUP(A15,pAg!$A$2:$C$47,3),VLOOKUP(A15,pAg!$O$3:$P1205,2)),"")</f>
        <v>0.98003711130454563</v>
      </c>
      <c r="C15" s="83">
        <f ca="1">VLOOKUP(A15,pAg!$A$7:$C$47,3)</f>
        <v>0.97499999999999998</v>
      </c>
      <c r="D15" s="87">
        <f ca="1">IF($A15&lt;&gt;"",1-VLOOKUP($N15,'AR sim'!$E$10:$F$38,2)*'Z087'!$E$10/'AR sim'!$D$42,"")</f>
        <v>0.99027678571428568</v>
      </c>
      <c r="E15" s="88">
        <f ca="1">VLOOKUP($A15,'cycle4 AFTA filters 2'!$A$34:$G$181,'Z087'!$I$2)</f>
        <v>0.79166666666667007</v>
      </c>
      <c r="F15" s="87">
        <f>IF($L$10=1, IF($K$10="R",VLOOKUP($A15,dichroic!$F$5:$H$1232,3),VLOOKUP($A15,dichroic!$F$5:$H$1232,2)),1)</f>
        <v>1</v>
      </c>
      <c r="G15" s="83">
        <f t="shared" ca="1" si="5"/>
        <v>0.71573946927660126</v>
      </c>
      <c r="H15" s="83">
        <f t="shared" ca="1" si="6"/>
        <v>0.89022316306916771</v>
      </c>
      <c r="I15" s="83">
        <f t="shared" ca="1" si="0"/>
        <v>0.79166666666667007</v>
      </c>
      <c r="J15" s="89">
        <f t="shared" ca="1" si="1"/>
        <v>0.98</v>
      </c>
      <c r="K15" s="46">
        <f ca="1">VLOOKUP($A15,'SWIR data'!$A$5:$K$795,11)/100</f>
        <v>0.70894480636519674</v>
      </c>
      <c r="L15" s="90">
        <f t="shared" ca="1" si="2"/>
        <v>1.7617275835181601</v>
      </c>
      <c r="N15" s="6">
        <f t="shared" ca="1" si="3"/>
        <v>4.878048780487837E-2</v>
      </c>
    </row>
    <row r="16" spans="1:15" ht="14.25" customHeight="1">
      <c r="A16" s="79">
        <f t="shared" ca="1" si="4"/>
        <v>0.7758885017421604</v>
      </c>
      <c r="B16" s="83">
        <f ca="1">IF($A16&lt;&gt;"",IF($E$5="pAu",VLOOKUP(A16,pAg!$A$2:$C$47,3),VLOOKUP(A16,pAg!$O$3:$P1206,2)),"")</f>
        <v>0.97993119807727269</v>
      </c>
      <c r="C16" s="83">
        <f ca="1">VLOOKUP(A16,pAg!$A$7:$C$47,3)</f>
        <v>0.97499999999999998</v>
      </c>
      <c r="D16" s="87">
        <f ca="1">IF($A16&lt;&gt;"",1-VLOOKUP($N16,'AR sim'!$E$10:$F$38,2)*'Z087'!$E$10/'AR sim'!$D$42,"")</f>
        <v>0.99292857142857138</v>
      </c>
      <c r="E16" s="88">
        <f ca="1">VLOOKUP($A16,'cycle4 AFTA filters 2'!$A$34:$G$181,'Z087'!$I$2)</f>
        <v>0.79166666666667007</v>
      </c>
      <c r="F16" s="87">
        <f>IF($L$10=1, IF($K$10="R",VLOOKUP($A16,dichroic!$F$5:$H$1232,3),VLOOKUP($A16,dichroic!$F$5:$H$1232,2)),1)</f>
        <v>1</v>
      </c>
      <c r="G16" s="83">
        <f t="shared" ca="1" si="5"/>
        <v>0.7153528007866532</v>
      </c>
      <c r="H16" s="83">
        <f t="shared" ca="1" si="6"/>
        <v>0.89003075951156663</v>
      </c>
      <c r="I16" s="83">
        <f t="shared" ca="1" si="0"/>
        <v>0.79166666666667007</v>
      </c>
      <c r="J16" s="89">
        <f t="shared" ca="1" si="1"/>
        <v>0.98</v>
      </c>
      <c r="K16" s="46">
        <f ca="1">VLOOKUP($A16,'SWIR data'!$A$5:$K$795,11)/100</f>
        <v>0.70595465453634521</v>
      </c>
      <c r="L16" s="90">
        <f t="shared" ca="1" si="2"/>
        <v>1.7533493222540544</v>
      </c>
      <c r="N16" s="6">
        <f t="shared" ca="1" si="3"/>
        <v>7.3170731707317554E-2</v>
      </c>
    </row>
    <row r="17" spans="1:14" ht="15">
      <c r="A17" s="79">
        <f t="shared" ca="1" si="4"/>
        <v>0.78118466898954719</v>
      </c>
      <c r="B17" s="83">
        <f ca="1">IF($A17&lt;&gt;"",IF($E$5="pAu",VLOOKUP(A17,pAg!$A$2:$C$47,3),VLOOKUP(A17,pAg!$O$3:$P1207,2)),"")</f>
        <v>0.97976800722272728</v>
      </c>
      <c r="C17" s="83">
        <f ca="1">VLOOKUP(A17,pAg!$A$7:$C$47,3)</f>
        <v>0.97499999999999998</v>
      </c>
      <c r="D17" s="87">
        <f ca="1">IF($A17&lt;&gt;"",1-VLOOKUP($N17,'AR sim'!$E$10:$F$38,2)*'Z087'!$E$10/'AR sim'!$D$42,"")</f>
        <v>0.99292857142857138</v>
      </c>
      <c r="E17" s="88">
        <f ca="1">VLOOKUP($A17,'cycle4 AFTA filters 2'!$A$34:$G$181,'Z087'!$I$2)</f>
        <v>0.95</v>
      </c>
      <c r="F17" s="87">
        <f>IF($L$10=1, IF($K$10="R",VLOOKUP($A17,dichroic!$F$5:$H$1232,3),VLOOKUP($A17,dichroic!$F$5:$H$1232,2)),1)</f>
        <v>1</v>
      </c>
      <c r="G17" s="83">
        <f t="shared" ca="1" si="5"/>
        <v>0.85770882000619664</v>
      </c>
      <c r="H17" s="83">
        <f t="shared" ca="1" si="6"/>
        <v>0.88973434526029971</v>
      </c>
      <c r="I17" s="83">
        <f t="shared" ca="1" si="0"/>
        <v>0.95</v>
      </c>
      <c r="J17" s="89">
        <f t="shared" ca="1" si="1"/>
        <v>0.98</v>
      </c>
      <c r="K17" s="46">
        <f ca="1">VLOOKUP($A17,'SWIR data'!$A$5:$K$795,11)/100</f>
        <v>0.70452644370545825</v>
      </c>
      <c r="L17" s="90">
        <f t="shared" ca="1" si="2"/>
        <v>2.0980147471985884</v>
      </c>
      <c r="N17" s="6">
        <f t="shared" ca="1" si="3"/>
        <v>9.7560975609756739E-2</v>
      </c>
    </row>
    <row r="18" spans="1:14" ht="15">
      <c r="A18" s="79">
        <f t="shared" ca="1" si="4"/>
        <v>0.78648083623693399</v>
      </c>
      <c r="B18" s="83">
        <f ca="1">IF($A18&lt;&gt;"",IF($E$5="pAu",VLOOKUP(A18,pAg!$A$2:$C$47,3),VLOOKUP(A18,pAg!$O$3:$P1208,2)),"")</f>
        <v>0.97965856084090897</v>
      </c>
      <c r="C18" s="83">
        <f ca="1">VLOOKUP(A18,pAg!$A$7:$C$47,3)</f>
        <v>0.97499999999999998</v>
      </c>
      <c r="D18" s="87">
        <f ca="1">IF($A18&lt;&gt;"",1-VLOOKUP($N18,'AR sim'!$E$10:$F$38,2)*'Z087'!$E$10/'AR sim'!$D$42,"")</f>
        <v>0.99469642857142859</v>
      </c>
      <c r="E18" s="88">
        <f ca="1">VLOOKUP($A18,'cycle4 AFTA filters 2'!$A$34:$G$181,'Z087'!$I$2)</f>
        <v>0.95</v>
      </c>
      <c r="F18" s="87">
        <f>IF($L$10=1, IF($K$10="R",VLOOKUP($A18,dichroic!$F$5:$H$1232,3),VLOOKUP($A18,dichroic!$F$5:$H$1232,2)),1)</f>
        <v>1</v>
      </c>
      <c r="G18" s="83">
        <f t="shared" ca="1" si="5"/>
        <v>0.85722986909031051</v>
      </c>
      <c r="H18" s="83">
        <f t="shared" ca="1" si="6"/>
        <v>0.8895355782761466</v>
      </c>
      <c r="I18" s="83">
        <f t="shared" ca="1" si="0"/>
        <v>0.95</v>
      </c>
      <c r="J18" s="89">
        <f t="shared" ca="1" si="1"/>
        <v>0.98</v>
      </c>
      <c r="K18" s="46">
        <f ca="1">VLOOKUP($A18,'SWIR data'!$A$5:$K$795,11)/100</f>
        <v>0.70179572991041705</v>
      </c>
      <c r="L18" s="90">
        <f t="shared" ca="1" si="2"/>
        <v>2.0887159274556293</v>
      </c>
      <c r="N18" s="6">
        <f t="shared" ca="1" si="3"/>
        <v>0.12195121951219594</v>
      </c>
    </row>
    <row r="19" spans="1:14" ht="15">
      <c r="A19" s="79">
        <f t="shared" ca="1" si="4"/>
        <v>0.79177700348432078</v>
      </c>
      <c r="B19" s="83">
        <f ca="1">IF($A19&lt;&gt;"",IF($E$5="pAu",VLOOKUP(A19,pAg!$A$2:$C$47,3),VLOOKUP(A19,pAg!$O$3:$P1209,2)),"")</f>
        <v>0.9795583788136365</v>
      </c>
      <c r="C19" s="83">
        <f ca="1">VLOOKUP(A19,pAg!$A$7:$C$47,3)</f>
        <v>0.97499999999999998</v>
      </c>
      <c r="D19" s="87">
        <f ca="1">IF($A19&lt;&gt;"",1-VLOOKUP($N19,'AR sim'!$E$10:$F$38,2)*'Z087'!$E$10/'AR sim'!$D$42,"")</f>
        <v>0.99646428571428569</v>
      </c>
      <c r="E19" s="88">
        <f ca="1">VLOOKUP($A19,'cycle4 AFTA filters 2'!$A$34:$G$181,'Z087'!$I$2)</f>
        <v>0.95</v>
      </c>
      <c r="F19" s="87">
        <f>IF($L$10=1, IF($K$10="R",VLOOKUP($A19,dichroic!$F$5:$H$1232,3),VLOOKUP($A19,dichroic!$F$5:$H$1232,2)),1)</f>
        <v>1</v>
      </c>
      <c r="G19" s="83">
        <f t="shared" ca="1" si="5"/>
        <v>0.85679164771912064</v>
      </c>
      <c r="H19" s="83">
        <f t="shared" ca="1" si="6"/>
        <v>0.88935365587062132</v>
      </c>
      <c r="I19" s="83">
        <f t="shared" ca="1" si="0"/>
        <v>0.95</v>
      </c>
      <c r="J19" s="89">
        <f t="shared" ca="1" si="1"/>
        <v>0.98</v>
      </c>
      <c r="K19" s="46">
        <f ca="1">VLOOKUP($A19,'SWIR data'!$A$5:$K$795,11)/100</f>
        <v>0.7</v>
      </c>
      <c r="L19" s="90">
        <f t="shared" ca="1" si="2"/>
        <v>2.082306362824065</v>
      </c>
      <c r="N19" s="6">
        <f t="shared" ca="1" si="3"/>
        <v>0.14634146341463511</v>
      </c>
    </row>
    <row r="20" spans="1:14" ht="15">
      <c r="A20" s="79">
        <f t="shared" ca="1" si="4"/>
        <v>0.79707317073170758</v>
      </c>
      <c r="B20" s="83">
        <f ca="1">IF($A20&lt;&gt;"",IF($E$5="pAu",VLOOKUP(A20,pAg!$A$2:$C$47,3),VLOOKUP(A20,pAg!$O$3:$P1210,2)),"")</f>
        <v>0.97945394270909103</v>
      </c>
      <c r="C20" s="83">
        <f ca="1">VLOOKUP(A20,pAg!$A$7:$C$47,3)</f>
        <v>0.97499999999999998</v>
      </c>
      <c r="D20" s="87">
        <f ca="1">IF($A20&lt;&gt;"",1-VLOOKUP($N20,'AR sim'!$E$10:$F$38,2)*'Z087'!$E$10/'AR sim'!$D$42,"")</f>
        <v>0.99646428571428569</v>
      </c>
      <c r="E20" s="88">
        <f ca="1">VLOOKUP($A20,'cycle4 AFTA filters 2'!$A$34:$G$181,'Z087'!$I$2)</f>
        <v>0.95</v>
      </c>
      <c r="F20" s="87">
        <f>IF($L$10=1, IF($K$10="R",VLOOKUP($A20,dichroic!$F$5:$H$1232,3),VLOOKUP($A20,dichroic!$F$5:$H$1232,2)),1)</f>
        <v>1</v>
      </c>
      <c r="G20" s="83">
        <f t="shared" ca="1" si="5"/>
        <v>0.85633500875732826</v>
      </c>
      <c r="H20" s="83">
        <f t="shared" ca="1" si="6"/>
        <v>0.88916402821364071</v>
      </c>
      <c r="I20" s="83">
        <f t="shared" ca="1" si="0"/>
        <v>0.95</v>
      </c>
      <c r="J20" s="89">
        <f t="shared" ca="1" si="1"/>
        <v>0.98</v>
      </c>
      <c r="K20" s="46">
        <f ca="1">VLOOKUP($A20,'SWIR data'!$A$5:$K$795,11)/100</f>
        <v>0.7</v>
      </c>
      <c r="L20" s="90">
        <f t="shared" ca="1" si="2"/>
        <v>2.0811965688406793</v>
      </c>
      <c r="N20" s="6">
        <f t="shared" ca="1" si="3"/>
        <v>0.17073170731707429</v>
      </c>
    </row>
    <row r="21" spans="1:14" ht="15">
      <c r="A21" s="79">
        <f t="shared" ca="1" si="4"/>
        <v>0.80236933797909438</v>
      </c>
      <c r="B21" s="83">
        <f ca="1">IF($A21&lt;&gt;"",IF($E$5="pAu",VLOOKUP(A21,pAg!$A$2:$C$47,3),VLOOKUP(A21,pAg!$O$3:$P1211,2)),"")</f>
        <v>0.97931774168181851</v>
      </c>
      <c r="C21" s="83">
        <f ca="1">VLOOKUP(A21,pAg!$A$7:$C$47,3)</f>
        <v>0.98</v>
      </c>
      <c r="D21" s="87">
        <f ca="1">IF($A21&lt;&gt;"",1-VLOOKUP($N21,'AR sim'!$E$10:$F$38,2)*'Z087'!$E$10/'AR sim'!$D$42,"")</f>
        <v>0.99668526785714284</v>
      </c>
      <c r="E21" s="88">
        <f ca="1">VLOOKUP($A21,'cycle4 AFTA filters 2'!$A$34:$G$181,'Z087'!$I$2)</f>
        <v>0.95</v>
      </c>
      <c r="F21" s="87">
        <f>IF($L$10=1, IF($K$10="R",VLOOKUP($A21,dichroic!$F$5:$H$1232,3),VLOOKUP($A21,dichroic!$F$5:$H$1232,2)),1)</f>
        <v>1</v>
      </c>
      <c r="G21" s="83">
        <f t="shared" ca="1" si="5"/>
        <v>0.85573977262840439</v>
      </c>
      <c r="H21" s="83">
        <f t="shared" ca="1" si="6"/>
        <v>0.90266264820350428</v>
      </c>
      <c r="I21" s="83">
        <f t="shared" ca="1" si="0"/>
        <v>0.95</v>
      </c>
      <c r="J21" s="89">
        <f t="shared" ca="1" si="1"/>
        <v>0.98</v>
      </c>
      <c r="K21" s="46">
        <f ca="1">VLOOKUP($A21,'SWIR data'!$A$5:$K$795,11)/100</f>
        <v>0.7</v>
      </c>
      <c r="L21" s="90">
        <f t="shared" ca="1" si="2"/>
        <v>2.0797499347821655</v>
      </c>
      <c r="N21" s="6">
        <f t="shared" ca="1" si="3"/>
        <v>0.19512195121951348</v>
      </c>
    </row>
    <row r="22" spans="1:14" ht="15">
      <c r="A22" s="79">
        <f t="shared" ca="1" si="4"/>
        <v>0.80766550522648117</v>
      </c>
      <c r="B22" s="83">
        <f ca="1">IF($A22&lt;&gt;"",IF($E$5="pAu",VLOOKUP(A22,pAg!$A$2:$C$47,3),VLOOKUP(A22,pAg!$O$3:$P1212,2)),"")</f>
        <v>0.97920463822272719</v>
      </c>
      <c r="C22" s="83">
        <f ca="1">VLOOKUP(A22,pAg!$A$7:$C$47,3)</f>
        <v>0.98</v>
      </c>
      <c r="D22" s="87">
        <f ca="1">IF($A22&lt;&gt;"",1-VLOOKUP($N22,'AR sim'!$E$10:$F$38,2)*'Z087'!$E$10/'AR sim'!$D$42,"")</f>
        <v>0.99690624999999999</v>
      </c>
      <c r="E22" s="88">
        <f ca="1">VLOOKUP($A22,'cycle4 AFTA filters 2'!$A$34:$G$181,'Z087'!$I$2)</f>
        <v>0.95</v>
      </c>
      <c r="F22" s="87">
        <f>IF($L$10=1, IF($K$10="R",VLOOKUP($A22,dichroic!$F$5:$H$1232,3),VLOOKUP($A22,dichroic!$F$5:$H$1232,2)),1)</f>
        <v>1</v>
      </c>
      <c r="G22" s="83">
        <f t="shared" ca="1" si="5"/>
        <v>0.85524573085558198</v>
      </c>
      <c r="H22" s="83">
        <f t="shared" ca="1" si="6"/>
        <v>0.90245415944031993</v>
      </c>
      <c r="I22" s="83">
        <f t="shared" ca="1" si="0"/>
        <v>0.95</v>
      </c>
      <c r="J22" s="89">
        <f t="shared" ca="1" si="1"/>
        <v>0.98</v>
      </c>
      <c r="K22" s="46">
        <f ca="1">VLOOKUP($A22,'SWIR data'!$A$5:$K$795,11)/100</f>
        <v>0.7</v>
      </c>
      <c r="L22" s="90">
        <f t="shared" ca="1" si="2"/>
        <v>2.0785492387555555</v>
      </c>
      <c r="N22" s="6">
        <f t="shared" ca="1" si="3"/>
        <v>0.21951219512195269</v>
      </c>
    </row>
    <row r="23" spans="1:14" ht="15">
      <c r="A23" s="79">
        <f t="shared" ca="1" si="4"/>
        <v>0.81296167247386797</v>
      </c>
      <c r="B23" s="83">
        <f ca="1">IF($A23&lt;&gt;"",IF($E$5="pAu",VLOOKUP(A23,pAg!$A$2:$C$47,3),VLOOKUP(A23,pAg!$O$3:$P1213,2)),"")</f>
        <v>0.97902480554090898</v>
      </c>
      <c r="C23" s="83">
        <f ca="1">VLOOKUP(A23,pAg!$A$7:$C$47,3)</f>
        <v>0.98</v>
      </c>
      <c r="D23" s="87">
        <f ca="1">IF($A23&lt;&gt;"",1-VLOOKUP($N23,'AR sim'!$E$10:$F$38,2)*'Z087'!$E$10/'AR sim'!$D$42,"")</f>
        <v>0.99690624999999999</v>
      </c>
      <c r="E23" s="88">
        <f ca="1">VLOOKUP($A23,'cycle4 AFTA filters 2'!$A$34:$G$181,'Z087'!$I$2)</f>
        <v>0.95</v>
      </c>
      <c r="F23" s="87">
        <f>IF($L$10=1, IF($K$10="R",VLOOKUP($A23,dichroic!$F$5:$H$1232,3),VLOOKUP($A23,dichroic!$F$5:$H$1232,2)),1)</f>
        <v>1</v>
      </c>
      <c r="G23" s="83">
        <f t="shared" ca="1" si="5"/>
        <v>0.85446068222499039</v>
      </c>
      <c r="H23" s="83">
        <f t="shared" ca="1" si="6"/>
        <v>0.90212271523982812</v>
      </c>
      <c r="I23" s="83">
        <f t="shared" ca="1" si="0"/>
        <v>0.95</v>
      </c>
      <c r="J23" s="89">
        <f t="shared" ca="1" si="1"/>
        <v>0.98</v>
      </c>
      <c r="K23" s="46">
        <f ca="1">VLOOKUP($A23,'SWIR data'!$A$5:$K$795,11)/100</f>
        <v>0.7</v>
      </c>
      <c r="L23" s="90">
        <f t="shared" ca="1" si="2"/>
        <v>2.0766412932673388</v>
      </c>
      <c r="N23" s="6">
        <f t="shared" ca="1" si="3"/>
        <v>0.24390243902439188</v>
      </c>
    </row>
    <row r="24" spans="1:14" ht="15">
      <c r="A24" s="79">
        <f t="shared" ca="1" si="4"/>
        <v>0.81825783972125476</v>
      </c>
      <c r="B24" s="83">
        <f ca="1">IF($A24&lt;&gt;"",IF($E$5="pAu",VLOOKUP(A24,pAg!$A$2:$C$47,3),VLOOKUP(A24,pAg!$O$3:$P1214,2)),"")</f>
        <v>0.97881142779090891</v>
      </c>
      <c r="C24" s="83">
        <f ca="1">VLOOKUP(A24,pAg!$A$7:$C$47,3)</f>
        <v>0.98</v>
      </c>
      <c r="D24" s="87">
        <f ca="1">IF($A24&lt;&gt;"",1-VLOOKUP($N24,'AR sim'!$E$10:$F$38,2)*'Z087'!$E$10/'AR sim'!$D$42,"")</f>
        <v>0.99712723214285715</v>
      </c>
      <c r="E24" s="88">
        <f ca="1">VLOOKUP($A24,'cycle4 AFTA filters 2'!$A$34:$G$181,'Z087'!$I$2)</f>
        <v>0.95</v>
      </c>
      <c r="F24" s="87">
        <f>IF($L$10=1, IF($K$10="R",VLOOKUP($A24,dichroic!$F$5:$H$1232,3),VLOOKUP($A24,dichroic!$F$5:$H$1232,2)),1)</f>
        <v>1</v>
      </c>
      <c r="G24" s="83">
        <f t="shared" ca="1" si="5"/>
        <v>0.85352994257551129</v>
      </c>
      <c r="H24" s="83">
        <f t="shared" ca="1" si="6"/>
        <v>0.90172952410255247</v>
      </c>
      <c r="I24" s="83">
        <f t="shared" ca="1" si="0"/>
        <v>0.95</v>
      </c>
      <c r="J24" s="89">
        <f t="shared" ca="1" si="1"/>
        <v>0.98</v>
      </c>
      <c r="K24" s="46">
        <f ca="1">VLOOKUP($A24,'SWIR data'!$A$5:$K$795,11)/100</f>
        <v>0.7</v>
      </c>
      <c r="L24" s="90">
        <f t="shared" ca="1" si="2"/>
        <v>2.0743792671383465</v>
      </c>
      <c r="N24" s="6">
        <f t="shared" ca="1" si="3"/>
        <v>0.26829268292683106</v>
      </c>
    </row>
    <row r="25" spans="1:14" ht="15">
      <c r="A25" s="79">
        <f t="shared" ca="1" si="4"/>
        <v>0.82355400696864156</v>
      </c>
      <c r="B25" s="83">
        <f ca="1">IF($A25&lt;&gt;"",IF($E$5="pAu",VLOOKUP(A25,pAg!$A$2:$C$47,3),VLOOKUP(A25,pAg!$O$3:$P1215,2)),"")</f>
        <v>0.9786902331727273</v>
      </c>
      <c r="C25" s="83">
        <f ca="1">VLOOKUP(A25,pAg!$A$7:$C$47,3)</f>
        <v>0.98</v>
      </c>
      <c r="D25" s="87">
        <f ca="1">IF($A25&lt;&gt;"",1-VLOOKUP($N25,'AR sim'!$E$10:$F$38,2)*'Z087'!$E$10/'AR sim'!$D$42,"")</f>
        <v>0.9973482142857143</v>
      </c>
      <c r="E25" s="88">
        <f ca="1">VLOOKUP($A25,'cycle4 AFTA filters 2'!$A$34:$G$181,'Z087'!$I$2)</f>
        <v>0.95</v>
      </c>
      <c r="F25" s="87">
        <f>IF($L$10=1, IF($K$10="R",VLOOKUP($A25,dichroic!$F$5:$H$1232,3),VLOOKUP($A25,dichroic!$F$5:$H$1232,2)),1)</f>
        <v>1</v>
      </c>
      <c r="G25" s="83">
        <f t="shared" ca="1" si="5"/>
        <v>0.85300166092987129</v>
      </c>
      <c r="H25" s="83">
        <f t="shared" ca="1" si="6"/>
        <v>0.90150623696765519</v>
      </c>
      <c r="I25" s="83">
        <f t="shared" ca="1" si="0"/>
        <v>0.95</v>
      </c>
      <c r="J25" s="89">
        <f t="shared" ca="1" si="1"/>
        <v>0.98</v>
      </c>
      <c r="K25" s="46">
        <f ca="1">VLOOKUP($A25,'SWIR data'!$A$5:$K$795,11)/100</f>
        <v>0.7</v>
      </c>
      <c r="L25" s="90">
        <f t="shared" ca="1" si="2"/>
        <v>2.0730953561256662</v>
      </c>
      <c r="N25" s="6">
        <f t="shared" ca="1" si="3"/>
        <v>0.29268292682927022</v>
      </c>
    </row>
    <row r="26" spans="1:14" ht="15">
      <c r="A26" s="79">
        <f t="shared" ca="1" si="4"/>
        <v>0.82885017421602836</v>
      </c>
      <c r="B26" s="83">
        <f ca="1">IF($A26&lt;&gt;"",IF($E$5="pAu",VLOOKUP(A26,pAg!$A$2:$C$47,3),VLOOKUP(A26,pAg!$O$3:$P1216,2)),"")</f>
        <v>0.97847940262272726</v>
      </c>
      <c r="C26" s="83">
        <f ca="1">VLOOKUP(A26,pAg!$A$7:$C$47,3)</f>
        <v>0.98</v>
      </c>
      <c r="D26" s="87">
        <f ca="1">IF($A26&lt;&gt;"",1-VLOOKUP($N26,'AR sim'!$E$10:$F$38,2)*'Z087'!$E$10/'AR sim'!$D$42,"")</f>
        <v>0.9973482142857143</v>
      </c>
      <c r="E26" s="88">
        <f ca="1">VLOOKUP($A26,'cycle4 AFTA filters 2'!$A$34:$G$181,'Z087'!$I$2)</f>
        <v>0.95</v>
      </c>
      <c r="F26" s="87">
        <f>IF($L$10=1, IF($K$10="R",VLOOKUP($A26,dichroic!$F$5:$H$1232,3),VLOOKUP($A26,dichroic!$F$5:$H$1232,2)),1)</f>
        <v>1</v>
      </c>
      <c r="G26" s="83">
        <f t="shared" ca="1" si="5"/>
        <v>0.85208328380826326</v>
      </c>
      <c r="H26" s="83">
        <f t="shared" ca="1" si="6"/>
        <v>0.90111787182961078</v>
      </c>
      <c r="I26" s="83">
        <f t="shared" ca="1" si="0"/>
        <v>0.95</v>
      </c>
      <c r="J26" s="89">
        <f t="shared" ca="1" si="1"/>
        <v>0.98</v>
      </c>
      <c r="K26" s="46">
        <f ca="1">VLOOKUP($A26,'SWIR data'!$A$5:$K$795,11)/100</f>
        <v>0.7</v>
      </c>
      <c r="L26" s="90">
        <f t="shared" ca="1" si="2"/>
        <v>2.0708633753064234</v>
      </c>
      <c r="N26" s="6">
        <f t="shared" ca="1" si="3"/>
        <v>0.31707317073170943</v>
      </c>
    </row>
    <row r="27" spans="1:14" ht="15">
      <c r="A27" s="79">
        <f t="shared" ca="1" si="4"/>
        <v>0.83414634146341515</v>
      </c>
      <c r="B27" s="83">
        <f ca="1">IF($A27&lt;&gt;"",IF($E$5="pAu",VLOOKUP(A27,pAg!$A$2:$C$47,3),VLOOKUP(A27,pAg!$O$3:$P1217,2)),"")</f>
        <v>0.97818302016363612</v>
      </c>
      <c r="C27" s="83">
        <f ca="1">VLOOKUP(A27,pAg!$A$7:$C$47,3)</f>
        <v>0.98</v>
      </c>
      <c r="D27" s="87">
        <f ca="1">IF($A27&lt;&gt;"",1-VLOOKUP($N27,'AR sim'!$E$10:$F$38,2)*'Z087'!$E$10/'AR sim'!$D$42,"")</f>
        <v>0.99690624999999999</v>
      </c>
      <c r="E27" s="88">
        <f ca="1">VLOOKUP($A27,'cycle4 AFTA filters 2'!$A$34:$G$181,'Z087'!$I$2)</f>
        <v>0.95</v>
      </c>
      <c r="F27" s="87">
        <f>IF($L$10=1, IF($K$10="R",VLOOKUP($A27,dichroic!$F$5:$H$1232,3),VLOOKUP($A27,dichroic!$F$5:$H$1232,2)),1)</f>
        <v>1</v>
      </c>
      <c r="G27" s="83">
        <f t="shared" ca="1" si="5"/>
        <v>0.85079358065328636</v>
      </c>
      <c r="H27" s="83">
        <f t="shared" ca="1" si="6"/>
        <v>0.90057205536922158</v>
      </c>
      <c r="I27" s="83">
        <f t="shared" ca="1" si="0"/>
        <v>0.95</v>
      </c>
      <c r="J27" s="89">
        <f t="shared" ca="1" si="1"/>
        <v>0.98</v>
      </c>
      <c r="K27" s="46">
        <f ca="1">VLOOKUP($A27,'SWIR data'!$A$5:$K$795,11)/100</f>
        <v>0.7</v>
      </c>
      <c r="L27" s="90">
        <f t="shared" ca="1" si="2"/>
        <v>2.0677289410563788</v>
      </c>
      <c r="N27" s="6">
        <f t="shared" ca="1" si="3"/>
        <v>0.34146341463414859</v>
      </c>
    </row>
    <row r="28" spans="1:14" ht="15">
      <c r="A28" s="79">
        <f t="shared" ca="1" si="4"/>
        <v>0.83944250871080195</v>
      </c>
      <c r="B28" s="83">
        <f ca="1">IF($A28&lt;&gt;"",IF($E$5="pAu",VLOOKUP(A28,pAg!$A$2:$C$47,3),VLOOKUP(A28,pAg!$O$3:$P1218,2)),"")</f>
        <v>0.97804645098636356</v>
      </c>
      <c r="C28" s="83">
        <f ca="1">VLOOKUP(A28,pAg!$A$7:$C$47,3)</f>
        <v>0.98</v>
      </c>
      <c r="D28" s="87">
        <f ca="1">IF($A28&lt;&gt;"",1-VLOOKUP($N28,'AR sim'!$E$10:$F$38,2)*'Z087'!$E$10/'AR sim'!$D$42,"")</f>
        <v>0.99646428571428569</v>
      </c>
      <c r="E28" s="88">
        <f ca="1">VLOOKUP($A28,'cycle4 AFTA filters 2'!$A$34:$G$181,'Z087'!$I$2)</f>
        <v>0.95</v>
      </c>
      <c r="F28" s="87">
        <f>IF($L$10=1, IF($K$10="R",VLOOKUP($A28,dichroic!$F$5:$H$1232,3),VLOOKUP($A28,dichroic!$F$5:$H$1232,2)),1)</f>
        <v>1</v>
      </c>
      <c r="G28" s="83">
        <f t="shared" ca="1" si="5"/>
        <v>0.85019982806765282</v>
      </c>
      <c r="H28" s="83">
        <f t="shared" ca="1" si="6"/>
        <v>0.90032060590326202</v>
      </c>
      <c r="I28" s="83">
        <f t="shared" ca="1" si="0"/>
        <v>0.95</v>
      </c>
      <c r="J28" s="89">
        <f t="shared" ca="1" si="1"/>
        <v>0.98</v>
      </c>
      <c r="K28" s="46">
        <f ca="1">VLOOKUP($A28,'SWIR data'!$A$5:$K$795,11)/100</f>
        <v>0.7</v>
      </c>
      <c r="L28" s="90">
        <f t="shared" ca="1" si="2"/>
        <v>2.0662859125321171</v>
      </c>
      <c r="N28" s="6">
        <f t="shared" ca="1" si="3"/>
        <v>0.3658536585365878</v>
      </c>
    </row>
    <row r="29" spans="1:14" ht="15">
      <c r="A29" s="79">
        <f t="shared" ca="1" si="4"/>
        <v>0.84473867595818874</v>
      </c>
      <c r="B29" s="83">
        <f ca="1">IF($A29&lt;&gt;"",IF($E$5="pAu",VLOOKUP(A29,pAg!$A$2:$C$47,3),VLOOKUP(A29,pAg!$O$3:$P1219,2)),"")</f>
        <v>0.97778562711363648</v>
      </c>
      <c r="C29" s="83">
        <f ca="1">VLOOKUP(A29,pAg!$A$7:$C$47,3)</f>
        <v>0.98</v>
      </c>
      <c r="D29" s="87">
        <f ca="1">IF($A29&lt;&gt;"",1-VLOOKUP($N29,'AR sim'!$E$10:$F$38,2)*'Z087'!$E$10/'AR sim'!$D$42,"")</f>
        <v>0.99646428571428569</v>
      </c>
      <c r="E29" s="88">
        <f ca="1">VLOOKUP($A29,'cycle4 AFTA filters 2'!$A$34:$G$181,'Z087'!$I$2)</f>
        <v>0.95</v>
      </c>
      <c r="F29" s="87">
        <f>IF($L$10=1, IF($K$10="R",VLOOKUP($A29,dichroic!$F$5:$H$1232,3),VLOOKUP($A29,dichroic!$F$5:$H$1232,2)),1)</f>
        <v>1</v>
      </c>
      <c r="G29" s="83">
        <f t="shared" ca="1" si="5"/>
        <v>0.84906678285338733</v>
      </c>
      <c r="H29" s="83">
        <f t="shared" ca="1" si="6"/>
        <v>0.89984047779585408</v>
      </c>
      <c r="I29" s="83">
        <f t="shared" ca="1" si="0"/>
        <v>0.95</v>
      </c>
      <c r="J29" s="89">
        <f t="shared" ca="1" si="1"/>
        <v>0.98</v>
      </c>
      <c r="K29" s="46">
        <f ca="1">VLOOKUP($A29,'SWIR data'!$A$5:$K$795,11)/100</f>
        <v>0.7</v>
      </c>
      <c r="L29" s="90">
        <f t="shared" ca="1" si="2"/>
        <v>2.0635322124169102</v>
      </c>
      <c r="N29" s="6">
        <f t="shared" ca="1" si="3"/>
        <v>0.39024390243902696</v>
      </c>
    </row>
    <row r="30" spans="1:14" ht="15">
      <c r="A30" s="79">
        <f t="shared" ca="1" si="4"/>
        <v>0.85003484320557554</v>
      </c>
      <c r="B30" s="83">
        <f ca="1">IF($A30&lt;&gt;"",IF($E$5="pAu",VLOOKUP(A30,pAg!$A$2:$C$47,3),VLOOKUP(A30,pAg!$O$3:$P1220,2)),"")</f>
        <v>0.97766086677727271</v>
      </c>
      <c r="C30" s="83">
        <f ca="1">VLOOKUP(A30,pAg!$A$7:$C$47,3)</f>
        <v>0.98499999999999999</v>
      </c>
      <c r="D30" s="87">
        <f ca="1">IF($A30&lt;&gt;"",1-VLOOKUP($N30,'AR sim'!$E$10:$F$38,2)*'Z087'!$E$10/'AR sim'!$D$42,"")</f>
        <v>0.99602232142857139</v>
      </c>
      <c r="E30" s="88">
        <f ca="1">VLOOKUP($A30,'cycle4 AFTA filters 2'!$A$34:$G$181,'Z087'!$I$2)</f>
        <v>0.95</v>
      </c>
      <c r="F30" s="87">
        <f>IF($L$10=1, IF($K$10="R",VLOOKUP($A30,dichroic!$F$5:$H$1232,3),VLOOKUP($A30,dichroic!$F$5:$H$1232,2)),1)</f>
        <v>1</v>
      </c>
      <c r="G30" s="83">
        <f t="shared" ca="1" si="5"/>
        <v>0.84852523864500529</v>
      </c>
      <c r="H30" s="83">
        <f t="shared" ca="1" si="6"/>
        <v>0.91345078888338072</v>
      </c>
      <c r="I30" s="83">
        <f t="shared" ca="1" si="0"/>
        <v>0.95</v>
      </c>
      <c r="J30" s="89">
        <f t="shared" ca="1" si="1"/>
        <v>0.98</v>
      </c>
      <c r="K30" s="46">
        <f ca="1">VLOOKUP($A30,'SWIR data'!$A$5:$K$795,11)/100</f>
        <v>0.7</v>
      </c>
      <c r="L30" s="90">
        <f t="shared" ca="1" si="2"/>
        <v>2.0622160686918094</v>
      </c>
      <c r="N30" s="6">
        <f t="shared" ca="1" si="3"/>
        <v>0.41463414634146617</v>
      </c>
    </row>
    <row r="31" spans="1:14" ht="15">
      <c r="A31" s="79">
        <f t="shared" ca="1" si="4"/>
        <v>0.85533101045296234</v>
      </c>
      <c r="B31" s="83">
        <f ca="1">IF($A31&lt;&gt;"",IF($E$5="pAu",VLOOKUP(A31,pAg!$A$2:$C$47,3),VLOOKUP(A31,pAg!$O$3:$P1221,2)),"")</f>
        <v>0.97765676285454561</v>
      </c>
      <c r="C31" s="83">
        <f ca="1">VLOOKUP(A31,pAg!$A$7:$C$47,3)</f>
        <v>0.98499999999999999</v>
      </c>
      <c r="D31" s="87">
        <f ca="1">IF($A31&lt;&gt;"",1-VLOOKUP($N31,'AR sim'!$E$10:$F$38,2)*'Z087'!$E$10/'AR sim'!$D$42,"")</f>
        <v>0.9955803571428572</v>
      </c>
      <c r="E31" s="88">
        <f ca="1">VLOOKUP($A31,'cycle4 AFTA filters 2'!$A$34:$G$181,'Z087'!$I$2)</f>
        <v>0.95</v>
      </c>
      <c r="F31" s="87">
        <f>IF($L$10=1, IF($K$10="R",VLOOKUP($A31,dichroic!$F$5:$H$1232,3),VLOOKUP($A31,dichroic!$F$5:$H$1232,2)),1)</f>
        <v>1</v>
      </c>
      <c r="G31" s="83">
        <f t="shared" ca="1" si="5"/>
        <v>0.8485074295411803</v>
      </c>
      <c r="H31" s="83">
        <f t="shared" ca="1" si="6"/>
        <v>0.91344312012274609</v>
      </c>
      <c r="I31" s="83">
        <f t="shared" ca="1" si="0"/>
        <v>0.95</v>
      </c>
      <c r="J31" s="89">
        <f t="shared" ca="1" si="1"/>
        <v>0.98</v>
      </c>
      <c r="K31" s="46">
        <f ca="1">VLOOKUP($A31,'SWIR data'!$A$5:$K$795,11)/100</f>
        <v>0.7</v>
      </c>
      <c r="L31" s="90">
        <f t="shared" ca="1" si="2"/>
        <v>2.0621727862785066</v>
      </c>
      <c r="N31" s="6">
        <f t="shared" ca="1" si="3"/>
        <v>0.43902439024390538</v>
      </c>
    </row>
    <row r="32" spans="1:14" ht="15">
      <c r="A32" s="79">
        <f t="shared" ca="1" si="4"/>
        <v>0.86062717770034913</v>
      </c>
      <c r="B32" s="83">
        <f ca="1">IF($A32&lt;&gt;"",IF($E$5="pAu",VLOOKUP(A32,pAg!$A$2:$C$47,3),VLOOKUP(A32,pAg!$O$3:$P1222,2)),"")</f>
        <v>0.9775264667000001</v>
      </c>
      <c r="C32" s="83">
        <f ca="1">VLOOKUP(A32,pAg!$A$7:$C$47,3)</f>
        <v>0.98499999999999999</v>
      </c>
      <c r="D32" s="87">
        <f ca="1">IF($A32&lt;&gt;"",1-VLOOKUP($N32,'AR sim'!$E$10:$F$38,2)*'Z087'!$E$10/'AR sim'!$D$42,"")</f>
        <v>0.9955803571428572</v>
      </c>
      <c r="E32" s="88">
        <f ca="1">VLOOKUP($A32,'cycle4 AFTA filters 2'!$A$34:$G$181,'Z087'!$I$2)</f>
        <v>0.95</v>
      </c>
      <c r="F32" s="87">
        <f>IF($L$10=1, IF($K$10="R",VLOOKUP($A32,dichroic!$F$5:$H$1232,3),VLOOKUP($A32,dichroic!$F$5:$H$1232,2)),1)</f>
        <v>1</v>
      </c>
      <c r="G32" s="83">
        <f t="shared" ca="1" si="5"/>
        <v>0.84794216065285277</v>
      </c>
      <c r="H32" s="83">
        <f t="shared" ca="1" si="6"/>
        <v>0.9131996600466471</v>
      </c>
      <c r="I32" s="83">
        <f t="shared" ca="1" si="0"/>
        <v>0.95</v>
      </c>
      <c r="J32" s="89">
        <f t="shared" ca="1" si="1"/>
        <v>0.98</v>
      </c>
      <c r="K32" s="46">
        <f ca="1">VLOOKUP($A32,'SWIR data'!$A$5:$K$795,11)/100</f>
        <v>0.7</v>
      </c>
      <c r="L32" s="90">
        <f t="shared" ca="1" si="2"/>
        <v>2.0607989832004718</v>
      </c>
      <c r="N32" s="6">
        <f t="shared" ca="1" si="3"/>
        <v>0.46341463414634454</v>
      </c>
    </row>
    <row r="33" spans="1:14" ht="15">
      <c r="A33" s="79">
        <f t="shared" ca="1" si="4"/>
        <v>0.86592334494773593</v>
      </c>
      <c r="B33" s="83">
        <f ca="1">IF($A33&lt;&gt;"",IF($E$5="pAu",VLOOKUP(A33,pAg!$A$2:$C$47,3),VLOOKUP(A33,pAg!$O$3:$P1223,2)),"")</f>
        <v>0.9774535929</v>
      </c>
      <c r="C33" s="83">
        <f ca="1">VLOOKUP(A33,pAg!$A$7:$C$47,3)</f>
        <v>0.98499999999999999</v>
      </c>
      <c r="D33" s="87">
        <f ca="1">IF($A33&lt;&gt;"",1-VLOOKUP($N33,'AR sim'!$E$10:$F$38,2)*'Z087'!$E$10/'AR sim'!$D$42,"")</f>
        <v>0.99513839285714289</v>
      </c>
      <c r="E33" s="88">
        <f ca="1">VLOOKUP($A33,'cycle4 AFTA filters 2'!$A$34:$G$181,'Z087'!$I$2)</f>
        <v>0.95</v>
      </c>
      <c r="F33" s="87">
        <f>IF($L$10=1, IF($K$10="R",VLOOKUP($A33,dichroic!$F$5:$H$1232,3),VLOOKUP($A33,dichroic!$F$5:$H$1232,2)),1)</f>
        <v>1</v>
      </c>
      <c r="G33" s="83">
        <f t="shared" ca="1" si="5"/>
        <v>0.84762614079549947</v>
      </c>
      <c r="H33" s="83">
        <f t="shared" ca="1" si="6"/>
        <v>0.91306350854366181</v>
      </c>
      <c r="I33" s="83">
        <f t="shared" ca="1" si="0"/>
        <v>0.95</v>
      </c>
      <c r="J33" s="89">
        <f t="shared" ca="1" si="1"/>
        <v>0.98</v>
      </c>
      <c r="K33" s="46">
        <f ca="1">VLOOKUP($A33,'SWIR data'!$A$5:$K$795,11)/100</f>
        <v>0.7</v>
      </c>
      <c r="L33" s="90">
        <f t="shared" ca="1" si="2"/>
        <v>2.0600309433141155</v>
      </c>
      <c r="N33" s="6">
        <f t="shared" ca="1" si="3"/>
        <v>0.48780487804878375</v>
      </c>
    </row>
    <row r="34" spans="1:14" ht="15">
      <c r="A34" s="79">
        <f t="shared" ca="1" si="4"/>
        <v>0.87121951219512273</v>
      </c>
      <c r="B34" s="83">
        <f ca="1">IF($A34&lt;&gt;"",IF($E$5="pAu",VLOOKUP(A34,pAg!$A$2:$C$47,3),VLOOKUP(A34,pAg!$O$3:$P1224,2)),"")</f>
        <v>0.97723359659090914</v>
      </c>
      <c r="C34" s="83">
        <f ca="1">VLOOKUP(A34,pAg!$A$7:$C$47,3)</f>
        <v>0.98499999999999999</v>
      </c>
      <c r="D34" s="87">
        <f ca="1">IF($A34&lt;&gt;"",1-VLOOKUP($N34,'AR sim'!$E$10:$F$38,2)*'Z087'!$E$10/'AR sim'!$D$42,"")</f>
        <v>0.99469642857142859</v>
      </c>
      <c r="E34" s="88">
        <f ca="1">VLOOKUP($A34,'cycle4 AFTA filters 2'!$A$34:$G$181,'Z087'!$I$2)</f>
        <v>0.95</v>
      </c>
      <c r="F34" s="87">
        <f>IF($L$10=1, IF($K$10="R",VLOOKUP($A34,dichroic!$F$5:$H$1232,3),VLOOKUP($A34,dichroic!$F$5:$H$1232,2)),1)</f>
        <v>1</v>
      </c>
      <c r="G34" s="83">
        <f t="shared" ca="1" si="5"/>
        <v>0.84667269040815973</v>
      </c>
      <c r="H34" s="83">
        <f t="shared" ca="1" si="6"/>
        <v>0.9126525468402199</v>
      </c>
      <c r="I34" s="83">
        <f t="shared" ca="1" si="0"/>
        <v>0.95</v>
      </c>
      <c r="J34" s="89">
        <f t="shared" ca="1" si="1"/>
        <v>0.98</v>
      </c>
      <c r="K34" s="46">
        <f ca="1">VLOOKUP($A34,'SWIR data'!$A$5:$K$795,11)/100</f>
        <v>0.7</v>
      </c>
      <c r="L34" s="90">
        <f t="shared" ca="1" si="2"/>
        <v>2.0577137220696273</v>
      </c>
      <c r="N34" s="6">
        <f t="shared" ca="1" si="3"/>
        <v>0.51219512195122296</v>
      </c>
    </row>
    <row r="35" spans="1:14" ht="15">
      <c r="A35" s="79">
        <f t="shared" ca="1" si="4"/>
        <v>0.87651567944250952</v>
      </c>
      <c r="B35" s="83">
        <f ca="1">IF($A35&lt;&gt;"",IF($E$5="pAu",VLOOKUP(A35,pAg!$A$2:$C$47,3),VLOOKUP(A35,pAg!$O$3:$P1225,2)),"")</f>
        <v>0.97706013643181822</v>
      </c>
      <c r="C35" s="83">
        <f ca="1">VLOOKUP(A35,pAg!$A$7:$C$47,3)</f>
        <v>0.98499999999999999</v>
      </c>
      <c r="D35" s="87">
        <f ca="1">IF($A35&lt;&gt;"",1-VLOOKUP($N35,'AR sim'!$E$10:$F$38,2)*'Z087'!$E$10/'AR sim'!$D$42,"")</f>
        <v>0.99513839285714289</v>
      </c>
      <c r="E35" s="88">
        <f ca="1">VLOOKUP($A35,'cycle4 AFTA filters 2'!$A$34:$G$181,'Z087'!$I$2)</f>
        <v>0.95</v>
      </c>
      <c r="F35" s="87">
        <f>IF($L$10=1, IF($K$10="R",VLOOKUP($A35,dichroic!$F$5:$H$1232,3),VLOOKUP($A35,dichroic!$F$5:$H$1232,2)),1)</f>
        <v>1</v>
      </c>
      <c r="G35" s="83">
        <f t="shared" ca="1" si="5"/>
        <v>0.8459215299268289</v>
      </c>
      <c r="H35" s="83">
        <f t="shared" ca="1" si="6"/>
        <v>0.91232858170739184</v>
      </c>
      <c r="I35" s="83">
        <f t="shared" ca="1" si="0"/>
        <v>0.95</v>
      </c>
      <c r="J35" s="89">
        <f t="shared" ca="1" si="1"/>
        <v>0.98</v>
      </c>
      <c r="K35" s="46">
        <f ca="1">VLOOKUP($A35,'SWIR data'!$A$5:$K$795,11)/100</f>
        <v>0.7</v>
      </c>
      <c r="L35" s="90">
        <f t="shared" ca="1" si="2"/>
        <v>2.0558881367549935</v>
      </c>
      <c r="N35" s="6">
        <f t="shared" ca="1" si="3"/>
        <v>0.53658536585366212</v>
      </c>
    </row>
    <row r="36" spans="1:14" ht="15">
      <c r="A36" s="79">
        <f t="shared" ca="1" si="4"/>
        <v>0.88181184668989632</v>
      </c>
      <c r="B36" s="83">
        <f ca="1">IF($A36&lt;&gt;"",IF($E$5="pAu",VLOOKUP(A36,pAg!$A$2:$C$47,3),VLOOKUP(A36,pAg!$O$3:$P1226,2)),"")</f>
        <v>0.97701898323181824</v>
      </c>
      <c r="C36" s="83">
        <f ca="1">VLOOKUP(A36,pAg!$A$7:$C$47,3)</f>
        <v>0.98499999999999999</v>
      </c>
      <c r="D36" s="87">
        <f ca="1">IF($A36&lt;&gt;"",1-VLOOKUP($N36,'AR sim'!$E$10:$F$38,2)*'Z087'!$E$10/'AR sim'!$D$42,"")</f>
        <v>0.99513839285714289</v>
      </c>
      <c r="E36" s="88">
        <f ca="1">VLOOKUP($A36,'cycle4 AFTA filters 2'!$A$34:$G$181,'Z087'!$I$2)</f>
        <v>0.95</v>
      </c>
      <c r="F36" s="87">
        <f>IF($L$10=1, IF($K$10="R",VLOOKUP($A36,dichroic!$F$5:$H$1232,3),VLOOKUP($A36,dichroic!$F$5:$H$1232,2)),1)</f>
        <v>1</v>
      </c>
      <c r="G36" s="83">
        <f t="shared" ca="1" si="5"/>
        <v>0.84574339633925821</v>
      </c>
      <c r="H36" s="83">
        <f t="shared" ca="1" si="6"/>
        <v>0.91225172983615688</v>
      </c>
      <c r="I36" s="83">
        <f t="shared" ca="1" si="0"/>
        <v>0.95</v>
      </c>
      <c r="J36" s="89">
        <f t="shared" ca="1" si="1"/>
        <v>0.98</v>
      </c>
      <c r="K36" s="46">
        <f ca="1">VLOOKUP($A36,'SWIR data'!$A$5:$K$795,11)/100</f>
        <v>0.7</v>
      </c>
      <c r="L36" s="90">
        <f t="shared" ca="1" si="2"/>
        <v>2.0554552092120852</v>
      </c>
      <c r="N36" s="6">
        <f t="shared" ca="1" si="3"/>
        <v>0.56097560975610128</v>
      </c>
    </row>
    <row r="37" spans="1:14" ht="15">
      <c r="A37" s="79">
        <f t="shared" ca="1" si="4"/>
        <v>0.88710801393728311</v>
      </c>
      <c r="B37" s="83">
        <f ca="1">IF($A37&lt;&gt;"",IF($E$5="pAu",VLOOKUP(A37,pAg!$A$2:$C$47,3),VLOOKUP(A37,pAg!$O$3:$P1227,2)),"")</f>
        <v>0.97686535161363652</v>
      </c>
      <c r="C37" s="83">
        <f ca="1">VLOOKUP(A37,pAg!$A$7:$C$47,3)</f>
        <v>0.98499999999999999</v>
      </c>
      <c r="D37" s="87">
        <f ca="1">IF($A37&lt;&gt;"",1-VLOOKUP($N37,'AR sim'!$E$10:$F$38,2)*'Z087'!$E$10/'AR sim'!$D$42,"")</f>
        <v>0.9955803571428572</v>
      </c>
      <c r="E37" s="88">
        <f ca="1">VLOOKUP($A37,'cycle4 AFTA filters 2'!$A$34:$G$181,'Z087'!$I$2)</f>
        <v>0.95</v>
      </c>
      <c r="F37" s="87">
        <f>IF($L$10=1, IF($K$10="R",VLOOKUP($A37,dichroic!$F$5:$H$1232,3),VLOOKUP($A37,dichroic!$F$5:$H$1232,2)),1)</f>
        <v>1</v>
      </c>
      <c r="G37" s="83">
        <f t="shared" ca="1" si="5"/>
        <v>0.84507865966308826</v>
      </c>
      <c r="H37" s="83">
        <f t="shared" ca="1" si="6"/>
        <v>0.91196485784527315</v>
      </c>
      <c r="I37" s="83">
        <f t="shared" ca="1" si="0"/>
        <v>0.95</v>
      </c>
      <c r="J37" s="89">
        <f t="shared" ca="1" si="1"/>
        <v>0.98</v>
      </c>
      <c r="K37" s="46">
        <f ca="1">VLOOKUP($A37,'SWIR data'!$A$5:$K$795,11)/100</f>
        <v>0.7</v>
      </c>
      <c r="L37" s="90">
        <f t="shared" ca="1" si="2"/>
        <v>2.0538396642729206</v>
      </c>
      <c r="N37" s="6">
        <f t="shared" ca="1" si="3"/>
        <v>0.58536585365854044</v>
      </c>
    </row>
    <row r="38" spans="1:14" ht="15">
      <c r="A38" s="79">
        <f t="shared" ca="1" si="4"/>
        <v>0.89240418118466991</v>
      </c>
      <c r="B38" s="83">
        <f ca="1">IF($A38&lt;&gt;"",IF($E$5="pAu",VLOOKUP(A38,pAg!$A$2:$C$47,3),VLOOKUP(A38,pAg!$O$3:$P1228,2)),"")</f>
        <v>0.97668541038636392</v>
      </c>
      <c r="C38" s="83">
        <f ca="1">VLOOKUP(A38,pAg!$A$7:$C$47,3)</f>
        <v>0.98499999999999999</v>
      </c>
      <c r="D38" s="87">
        <f ca="1">IF($A38&lt;&gt;"",1-VLOOKUP($N38,'AR sim'!$E$10:$F$38,2)*'Z087'!$E$10/'AR sim'!$D$42,"")</f>
        <v>0.99602232142857139</v>
      </c>
      <c r="E38" s="88">
        <f ca="1">VLOOKUP($A38,'cycle4 AFTA filters 2'!$A$34:$G$181,'Z087'!$I$2)</f>
        <v>0.95</v>
      </c>
      <c r="F38" s="87">
        <f>IF($L$10=1, IF($K$10="R",VLOOKUP($A38,dichroic!$F$5:$H$1232,3),VLOOKUP($A38,dichroic!$F$5:$H$1232,2)),1)</f>
        <v>1</v>
      </c>
      <c r="G38" s="83">
        <f t="shared" ca="1" si="5"/>
        <v>0.8443006175314286</v>
      </c>
      <c r="H38" s="83">
        <f t="shared" ca="1" si="6"/>
        <v>0.9116289160255715</v>
      </c>
      <c r="I38" s="83">
        <f t="shared" ca="1" si="0"/>
        <v>0.95</v>
      </c>
      <c r="J38" s="89">
        <f t="shared" ca="1" si="1"/>
        <v>0.98</v>
      </c>
      <c r="K38" s="46">
        <f ca="1">VLOOKUP($A38,'SWIR data'!$A$5:$K$795,11)/100</f>
        <v>0.7</v>
      </c>
      <c r="L38" s="90">
        <f t="shared" ca="1" si="2"/>
        <v>2.051948747052132</v>
      </c>
      <c r="N38" s="6">
        <f t="shared" ca="1" si="3"/>
        <v>0.6097560975609797</v>
      </c>
    </row>
    <row r="39" spans="1:14" ht="15">
      <c r="A39" s="79">
        <f t="shared" ca="1" si="4"/>
        <v>0.89770034843205671</v>
      </c>
      <c r="B39" s="83">
        <f ca="1">IF($A39&lt;&gt;"",IF($E$5="pAu",VLOOKUP(A39,pAg!$A$2:$C$47,3),VLOOKUP(A39,pAg!$O$3:$P1229,2)),"")</f>
        <v>0.97655216450909077</v>
      </c>
      <c r="C39" s="83">
        <f ca="1">VLOOKUP(A39,pAg!$A$7:$C$47,3)</f>
        <v>0.98499999999999999</v>
      </c>
      <c r="D39" s="87">
        <f ca="1">IF($A39&lt;&gt;"",1-VLOOKUP($N39,'AR sim'!$E$10:$F$38,2)*'Z087'!$E$10/'AR sim'!$D$42,"")</f>
        <v>0.99602232142857139</v>
      </c>
      <c r="E39" s="88">
        <f ca="1">VLOOKUP($A39,'cycle4 AFTA filters 2'!$A$34:$G$181,'Z087'!$I$2)</f>
        <v>0.95</v>
      </c>
      <c r="F39" s="87">
        <f>IF($L$10=1, IF($K$10="R",VLOOKUP($A39,dichroic!$F$5:$H$1232,3),VLOOKUP($A39,dichroic!$F$5:$H$1232,2)),1)</f>
        <v>1</v>
      </c>
      <c r="G39" s="83">
        <f t="shared" ca="1" si="5"/>
        <v>0.84372484930767144</v>
      </c>
      <c r="H39" s="83">
        <f t="shared" ca="1" si="6"/>
        <v>0.91138019211212395</v>
      </c>
      <c r="I39" s="83">
        <f t="shared" ca="1" si="0"/>
        <v>0.95</v>
      </c>
      <c r="J39" s="89">
        <f t="shared" ca="1" si="1"/>
        <v>0.98</v>
      </c>
      <c r="K39" s="46">
        <f ca="1">VLOOKUP($A39,'SWIR data'!$A$5:$K$795,11)/100</f>
        <v>0.7</v>
      </c>
      <c r="L39" s="90">
        <f t="shared" ca="1" si="2"/>
        <v>2.050549426880147</v>
      </c>
      <c r="N39" s="6">
        <f t="shared" ca="1" si="3"/>
        <v>0.63414634146341886</v>
      </c>
    </row>
    <row r="40" spans="1:14" ht="15">
      <c r="A40" s="79">
        <f t="shared" ca="1" si="4"/>
        <v>0.9029965156794435</v>
      </c>
      <c r="B40" s="83">
        <f ca="1">IF($A40&lt;&gt;"",IF($E$5="pAu",VLOOKUP(A40,pAg!$A$2:$C$47,3),VLOOKUP(A40,pAg!$O$3:$P1230,2)),"")</f>
        <v>0.97635852936818179</v>
      </c>
      <c r="C40" s="83">
        <f ca="1">VLOOKUP(A40,pAg!$A$7:$C$47,3)</f>
        <v>0.99</v>
      </c>
      <c r="D40" s="87">
        <f ca="1">IF($A40&lt;&gt;"",1-VLOOKUP($N40,'AR sim'!$E$10:$F$38,2)*'Z087'!$E$10/'AR sim'!$D$42,"")</f>
        <v>0.99646428571428569</v>
      </c>
      <c r="E40" s="88">
        <f ca="1">VLOOKUP($A40,'cycle4 AFTA filters 2'!$A$34:$G$181,'Z087'!$I$2)</f>
        <v>0.95</v>
      </c>
      <c r="F40" s="87">
        <f>IF($L$10=1, IF($K$10="R",VLOOKUP($A40,dichroic!$F$5:$H$1232,3),VLOOKUP($A40,dichroic!$F$5:$H$1232,2)),1)</f>
        <v>1</v>
      </c>
      <c r="G40" s="83">
        <f t="shared" ca="1" si="5"/>
        <v>0.84288869323994065</v>
      </c>
      <c r="H40" s="83">
        <f t="shared" ca="1" si="6"/>
        <v>0.92496272805128177</v>
      </c>
      <c r="I40" s="83">
        <f t="shared" ca="1" si="0"/>
        <v>0.95</v>
      </c>
      <c r="J40" s="89">
        <f t="shared" ca="1" si="1"/>
        <v>0.98</v>
      </c>
      <c r="K40" s="46">
        <f ca="1">VLOOKUP($A40,'SWIR data'!$A$5:$K$795,11)/100</f>
        <v>0.7</v>
      </c>
      <c r="L40" s="90">
        <f t="shared" ca="1" si="2"/>
        <v>2.048517272266146</v>
      </c>
      <c r="N40" s="6">
        <f t="shared" ca="1" si="3"/>
        <v>0.65853658536585802</v>
      </c>
    </row>
    <row r="41" spans="1:14" ht="15">
      <c r="A41" s="79">
        <f t="shared" ca="1" si="4"/>
        <v>0.9082926829268303</v>
      </c>
      <c r="B41" s="83">
        <f ca="1">IF($A41&lt;&gt;"",IF($E$5="pAu",VLOOKUP(A41,pAg!$A$2:$C$47,3),VLOOKUP(A41,pAg!$O$3:$P1231,2)),"")</f>
        <v>0.9762591876636364</v>
      </c>
      <c r="C41" s="83">
        <f ca="1">VLOOKUP(A41,pAg!$A$7:$C$47,3)</f>
        <v>0.99</v>
      </c>
      <c r="D41" s="87">
        <f ca="1">IF($A41&lt;&gt;"",1-VLOOKUP($N41,'AR sim'!$E$10:$F$38,2)*'Z087'!$E$10/'AR sim'!$D$42,"")</f>
        <v>0.99690624999999999</v>
      </c>
      <c r="E41" s="88">
        <f ca="1">VLOOKUP($A41,'cycle4 AFTA filters 2'!$A$34:$G$181,'Z087'!$I$2)</f>
        <v>0.95</v>
      </c>
      <c r="F41" s="87">
        <f>IF($L$10=1, IF($K$10="R",VLOOKUP($A41,dichroic!$F$5:$H$1232,3),VLOOKUP($A41,dichroic!$F$5:$H$1232,2)),1)</f>
        <v>1</v>
      </c>
      <c r="G41" s="83">
        <f t="shared" ca="1" si="5"/>
        <v>0.842459972850088</v>
      </c>
      <c r="H41" s="83">
        <f t="shared" ca="1" si="6"/>
        <v>0.92477451297118107</v>
      </c>
      <c r="I41" s="83">
        <f t="shared" ca="1" si="0"/>
        <v>0.95</v>
      </c>
      <c r="J41" s="89">
        <f t="shared" ca="1" si="1"/>
        <v>0.98</v>
      </c>
      <c r="K41" s="46">
        <f ca="1">VLOOKUP($A41,'SWIR data'!$A$5:$K$795,11)/100</f>
        <v>0.7</v>
      </c>
      <c r="L41" s="90">
        <f t="shared" ca="1" si="2"/>
        <v>2.0474753302747191</v>
      </c>
      <c r="N41" s="6">
        <f t="shared" ca="1" si="3"/>
        <v>0.68292682926829718</v>
      </c>
    </row>
    <row r="42" spans="1:14" ht="15">
      <c r="A42" s="79">
        <f t="shared" ca="1" si="4"/>
        <v>0.91358885017421709</v>
      </c>
      <c r="B42" s="83">
        <f ca="1">IF($A42&lt;&gt;"",IF($E$5="pAu",VLOOKUP(A42,pAg!$A$2:$C$47,3),VLOOKUP(A42,pAg!$O$3:$P1232,2)),"")</f>
        <v>0.97619193199545462</v>
      </c>
      <c r="C42" s="83">
        <f ca="1">VLOOKUP(A42,pAg!$A$7:$C$47,3)</f>
        <v>0.99</v>
      </c>
      <c r="D42" s="87">
        <f ca="1">IF($A42&lt;&gt;"",1-VLOOKUP($N42,'AR sim'!$E$10:$F$38,2)*'Z087'!$E$10/'AR sim'!$D$42,"")</f>
        <v>0.99690624999999999</v>
      </c>
      <c r="E42" s="88">
        <f ca="1">VLOOKUP($A42,'cycle4 AFTA filters 2'!$A$34:$G$181,'Z087'!$I$2)</f>
        <v>0.95</v>
      </c>
      <c r="F42" s="87">
        <f>IF($L$10=1, IF($K$10="R",VLOOKUP($A42,dichroic!$F$5:$H$1232,3),VLOOKUP($A42,dichroic!$F$5:$H$1232,2)),1)</f>
        <v>1</v>
      </c>
      <c r="G42" s="83">
        <f t="shared" ca="1" si="5"/>
        <v>0.84216982243273741</v>
      </c>
      <c r="H42" s="83">
        <f t="shared" ca="1" si="6"/>
        <v>0.92464709970596748</v>
      </c>
      <c r="I42" s="83">
        <f t="shared" ca="1" si="0"/>
        <v>0.95</v>
      </c>
      <c r="J42" s="89">
        <f t="shared" ca="1" si="1"/>
        <v>0.98</v>
      </c>
      <c r="K42" s="46">
        <f ca="1">VLOOKUP($A42,'SWIR data'!$A$5:$K$795,11)/100</f>
        <v>0.7</v>
      </c>
      <c r="L42" s="90">
        <f t="shared" ca="1" si="2"/>
        <v>2.0467701622658647</v>
      </c>
      <c r="N42" s="6">
        <f t="shared" ca="1" si="3"/>
        <v>0.70731707317073644</v>
      </c>
    </row>
    <row r="43" spans="1:14" ht="15">
      <c r="A43" s="79">
        <f t="shared" ca="1" si="4"/>
        <v>0.91888501742160389</v>
      </c>
      <c r="B43" s="83">
        <f ca="1">IF($A43&lt;&gt;"",IF($E$5="pAu",VLOOKUP(A43,pAg!$A$2:$C$47,3),VLOOKUP(A43,pAg!$O$3:$P1233,2)),"")</f>
        <v>0.9761047229590909</v>
      </c>
      <c r="C43" s="83">
        <f ca="1">VLOOKUP(A43,pAg!$A$7:$C$47,3)</f>
        <v>0.99</v>
      </c>
      <c r="D43" s="87">
        <f ca="1">IF($A43&lt;&gt;"",1-VLOOKUP($N43,'AR sim'!$E$10:$F$38,2)*'Z087'!$E$10/'AR sim'!$D$42,"")</f>
        <v>0.9973482142857143</v>
      </c>
      <c r="E43" s="88">
        <f ca="1">VLOOKUP($A43,'cycle4 AFTA filters 2'!$A$34:$G$181,'Z087'!$I$2)</f>
        <v>0.95</v>
      </c>
      <c r="F43" s="87">
        <f>IF($L$10=1, IF($K$10="R",VLOOKUP($A43,dichroic!$F$5:$H$1232,3),VLOOKUP($A43,dichroic!$F$5:$H$1232,2)),1)</f>
        <v>1</v>
      </c>
      <c r="G43" s="83">
        <f t="shared" ca="1" si="5"/>
        <v>0.84179370942202336</v>
      </c>
      <c r="H43" s="83">
        <f t="shared" ca="1" si="6"/>
        <v>0.92448189862617691</v>
      </c>
      <c r="I43" s="83">
        <f t="shared" ca="1" si="0"/>
        <v>0.95</v>
      </c>
      <c r="J43" s="89">
        <f t="shared" ca="1" si="1"/>
        <v>0.98</v>
      </c>
      <c r="K43" s="46">
        <f ca="1">VLOOKUP($A43,'SWIR data'!$A$5:$K$795,11)/100</f>
        <v>0.7</v>
      </c>
      <c r="L43" s="90">
        <f t="shared" ca="1" si="2"/>
        <v>2.0458560747891297</v>
      </c>
      <c r="N43" s="6">
        <f t="shared" ca="1" si="3"/>
        <v>0.7317073170731756</v>
      </c>
    </row>
    <row r="44" spans="1:14" ht="15">
      <c r="A44" s="79">
        <f t="shared" ca="1" si="4"/>
        <v>0.92418118466899069</v>
      </c>
      <c r="B44" s="83">
        <f ca="1">IF($A44&lt;&gt;"",IF($E$5="pAu",VLOOKUP(A44,pAg!$A$2:$C$47,3),VLOOKUP(A44,pAg!$O$3:$P1234,2)),"")</f>
        <v>0.97598961231363635</v>
      </c>
      <c r="C44" s="83">
        <f ca="1">VLOOKUP(A44,pAg!$A$7:$C$47,3)</f>
        <v>0.99</v>
      </c>
      <c r="D44" s="87">
        <f ca="1">IF($A44&lt;&gt;"",1-VLOOKUP($N44,'AR sim'!$E$10:$F$38,2)*'Z087'!$E$10/'AR sim'!$D$42,"")</f>
        <v>0.99712723214285715</v>
      </c>
      <c r="E44" s="88">
        <f ca="1">VLOOKUP($A44,'cycle4 AFTA filters 2'!$A$34:$G$181,'Z087'!$I$2)</f>
        <v>0.95</v>
      </c>
      <c r="F44" s="87">
        <f>IF($L$10=1, IF($K$10="R",VLOOKUP($A44,dichroic!$F$5:$H$1232,3),VLOOKUP($A44,dichroic!$F$5:$H$1232,2)),1)</f>
        <v>1</v>
      </c>
      <c r="G44" s="83">
        <f t="shared" ca="1" si="5"/>
        <v>0.84129746878704903</v>
      </c>
      <c r="H44" s="83">
        <f t="shared" ca="1" si="6"/>
        <v>0.92426386580507836</v>
      </c>
      <c r="I44" s="83">
        <f t="shared" ca="1" si="0"/>
        <v>0.95</v>
      </c>
      <c r="J44" s="89">
        <f t="shared" ca="1" si="1"/>
        <v>0.98</v>
      </c>
      <c r="K44" s="46">
        <f ca="1">VLOOKUP($A44,'SWIR data'!$A$5:$K$795,11)/100</f>
        <v>0.7</v>
      </c>
      <c r="L44" s="90">
        <f t="shared" ca="1" si="2"/>
        <v>2.0446500347507497</v>
      </c>
      <c r="N44" s="6">
        <f t="shared" ca="1" si="3"/>
        <v>0.75609756097561476</v>
      </c>
    </row>
    <row r="45" spans="1:14" ht="15">
      <c r="A45" s="79">
        <f t="shared" ca="1" si="4"/>
        <v>0.92947735191637748</v>
      </c>
      <c r="B45" s="83">
        <f ca="1">IF($A45&lt;&gt;"",IF($E$5="pAu",VLOOKUP(A45,pAg!$A$2:$C$47,3),VLOOKUP(A45,pAg!$O$3:$P1213,2)),"")</f>
        <v>0.97587867795454553</v>
      </c>
      <c r="C45" s="83">
        <f ca="1">VLOOKUP(A45,pAg!$A$7:$C$47,3)</f>
        <v>0.99</v>
      </c>
      <c r="D45" s="87">
        <f ca="1">IF($A45&lt;&gt;"",1-VLOOKUP($N45,'AR sim'!$E$10:$F$38,2)*'Z087'!$E$10/'AR sim'!$D$42,"")</f>
        <v>0.99712723214285715</v>
      </c>
      <c r="E45" s="88">
        <f ca="1">VLOOKUP($A45,'cycle4 AFTA filters 2'!$A$34:$G$181,'Z087'!$I$2)</f>
        <v>0.95</v>
      </c>
      <c r="F45" s="87">
        <f>IF($L$10=1, IF($K$10="R",VLOOKUP($A45,dichroic!$F$5:$H$1232,3),VLOOKUP($A45,dichroic!$F$5:$H$1232,2)),1)</f>
        <v>1</v>
      </c>
      <c r="G45" s="83">
        <f t="shared" ca="1" si="5"/>
        <v>0.84081945354697596</v>
      </c>
      <c r="H45" s="83">
        <f t="shared" ca="1" si="6"/>
        <v>0.92405376768275405</v>
      </c>
      <c r="I45" s="83">
        <f t="shared" ca="1" si="0"/>
        <v>0.95</v>
      </c>
      <c r="J45" s="89">
        <f t="shared" ca="1" si="1"/>
        <v>0.98</v>
      </c>
      <c r="K45" s="46">
        <f ca="1">VLOOKUP($A45,'SWIR data'!$A$5:$K$795,11)/100</f>
        <v>0.7</v>
      </c>
      <c r="L45" s="90">
        <f t="shared" ca="1" si="2"/>
        <v>2.0434882888600416</v>
      </c>
      <c r="N45" s="6">
        <f t="shared" ca="1" si="3"/>
        <v>0.78048780487805391</v>
      </c>
    </row>
    <row r="46" spans="1:14" ht="15">
      <c r="A46" s="79">
        <f t="shared" ca="1" si="4"/>
        <v>0.93477351916376428</v>
      </c>
      <c r="B46" s="83">
        <f ca="1">IF($A46&lt;&gt;"",IF($E$5="pAu",VLOOKUP(A46,pAg!$A$2:$C$47,3),VLOOKUP(A46,pAg!$O$3:$P1214,2)),"")</f>
        <v>0.97575082588181805</v>
      </c>
      <c r="C46" s="83">
        <f ca="1">VLOOKUP(A46,pAg!$A$7:$C$47,3)</f>
        <v>0.99</v>
      </c>
      <c r="D46" s="87">
        <f ca="1">IF($A46&lt;&gt;"",1-VLOOKUP($N46,'AR sim'!$E$10:$F$38,2)*'Z087'!$E$10/'AR sim'!$D$42,"")</f>
        <v>0.99690624999999999</v>
      </c>
      <c r="E46" s="88">
        <f ca="1">VLOOKUP($A46,'cycle4 AFTA filters 2'!$A$34:$G$181,'Z087'!$I$2)</f>
        <v>0.95</v>
      </c>
      <c r="F46" s="87">
        <f>IF($L$10=1, IF($K$10="R",VLOOKUP($A46,dichroic!$F$5:$H$1232,3),VLOOKUP($A46,dichroic!$F$5:$H$1232,2)),1)</f>
        <v>1</v>
      </c>
      <c r="G46" s="83">
        <f t="shared" ca="1" si="5"/>
        <v>0.84026880955672578</v>
      </c>
      <c r="H46" s="83">
        <f t="shared" ca="1" si="6"/>
        <v>0.92381165879536686</v>
      </c>
      <c r="I46" s="83">
        <f t="shared" ca="1" si="0"/>
        <v>0.95</v>
      </c>
      <c r="J46" s="89">
        <f t="shared" ca="1" si="1"/>
        <v>0.98</v>
      </c>
      <c r="K46" s="46">
        <f ca="1">VLOOKUP($A46,'SWIR data'!$A$5:$K$795,11)/100</f>
        <v>0.7</v>
      </c>
      <c r="L46" s="90">
        <f t="shared" ca="1" si="2"/>
        <v>2.0421500294505326</v>
      </c>
      <c r="N46" s="6">
        <f t="shared" ca="1" si="3"/>
        <v>0.80487804878049318</v>
      </c>
    </row>
    <row r="47" spans="1:14" ht="15">
      <c r="A47" s="79">
        <f t="shared" ca="1" si="4"/>
        <v>0.94006968641115107</v>
      </c>
      <c r="B47" s="83">
        <f ca="1">IF($A47&lt;&gt;"",IF($E$5="pAu",VLOOKUP(A47,pAg!$A$2:$C$47,3),VLOOKUP(A47,pAg!$O$3:$P1215,2)),"")</f>
        <v>0.97559227172727281</v>
      </c>
      <c r="C47" s="83">
        <f ca="1">VLOOKUP(A47,pAg!$A$7:$C$47,3)</f>
        <v>0.99</v>
      </c>
      <c r="D47" s="87">
        <f ca="1">IF($A47&lt;&gt;"",1-VLOOKUP($N47,'AR sim'!$E$10:$F$38,2)*'Z087'!$E$10/'AR sim'!$D$42,"")</f>
        <v>0.99668526785714284</v>
      </c>
      <c r="E47" s="88">
        <f ca="1">VLOOKUP($A47,'cycle4 AFTA filters 2'!$A$34:$G$181,'Z087'!$I$2)</f>
        <v>0.95</v>
      </c>
      <c r="F47" s="87">
        <f>IF($L$10=1, IF($K$10="R",VLOOKUP($A47,dichroic!$F$5:$H$1232,3),VLOOKUP($A47,dichroic!$F$5:$H$1232,2)),1)</f>
        <v>1</v>
      </c>
      <c r="G47" s="83">
        <f t="shared" ca="1" si="5"/>
        <v>0.83958633603726474</v>
      </c>
      <c r="H47" s="83">
        <f t="shared" ca="1" si="6"/>
        <v>0.92351145453827699</v>
      </c>
      <c r="I47" s="83">
        <f t="shared" ca="1" si="0"/>
        <v>0.95</v>
      </c>
      <c r="J47" s="89">
        <f t="shared" ca="1" si="1"/>
        <v>0.98</v>
      </c>
      <c r="K47" s="46">
        <f ca="1">VLOOKUP($A47,'SWIR data'!$A$5:$K$795,11)/100</f>
        <v>0.7</v>
      </c>
      <c r="L47" s="90">
        <f t="shared" ca="1" si="2"/>
        <v>2.040491377716688</v>
      </c>
      <c r="N47" s="6">
        <f t="shared" ca="1" si="3"/>
        <v>0.82926829268293234</v>
      </c>
    </row>
    <row r="48" spans="1:14" ht="15">
      <c r="A48" s="79">
        <f t="shared" ca="1" si="4"/>
        <v>0.94536585365853787</v>
      </c>
      <c r="B48" s="83">
        <f ca="1">IF($A48&lt;&gt;"",IF($E$5="pAu",VLOOKUP(A48,pAg!$A$2:$C$47,3),VLOOKUP(A48,pAg!$O$3:$P1216,2)),"")</f>
        <v>0.97551745134545476</v>
      </c>
      <c r="C48" s="83">
        <f ca="1">VLOOKUP(A48,pAg!$A$7:$C$47,3)</f>
        <v>0.99</v>
      </c>
      <c r="D48" s="87">
        <f ca="1">IF($A48&lt;&gt;"",1-VLOOKUP($N48,'AR sim'!$E$10:$F$38,2)*'Z087'!$E$10/'AR sim'!$D$42,"")</f>
        <v>0.99668526785714284</v>
      </c>
      <c r="E48" s="88">
        <f ca="1">VLOOKUP($A48,'cycle4 AFTA filters 2'!$A$34:$G$181,'Z087'!$I$2)</f>
        <v>0.95</v>
      </c>
      <c r="F48" s="87">
        <f>IF($L$10=1, IF($K$10="R",VLOOKUP($A48,dichroic!$F$5:$H$1232,3),VLOOKUP($A48,dichroic!$F$5:$H$1232,2)),1)</f>
        <v>1</v>
      </c>
      <c r="G48" s="83">
        <f t="shared" ca="1" si="5"/>
        <v>0.83926443652322058</v>
      </c>
      <c r="H48" s="83">
        <f t="shared" ca="1" si="6"/>
        <v>0.92336980759821163</v>
      </c>
      <c r="I48" s="83">
        <f t="shared" ca="1" si="0"/>
        <v>0.95</v>
      </c>
      <c r="J48" s="89">
        <f t="shared" ca="1" si="1"/>
        <v>0.98</v>
      </c>
      <c r="K48" s="46">
        <f ca="1">VLOOKUP($A48,'SWIR data'!$A$5:$K$795,11)/100</f>
        <v>0.7</v>
      </c>
      <c r="L48" s="90">
        <f t="shared" ca="1" si="2"/>
        <v>2.039709048187603</v>
      </c>
      <c r="N48" s="6">
        <f t="shared" ca="1" si="3"/>
        <v>0.8536585365853715</v>
      </c>
    </row>
    <row r="49" spans="1:14" ht="15">
      <c r="A49" s="79">
        <f t="shared" ca="1" si="4"/>
        <v>0.95066202090592467</v>
      </c>
      <c r="B49" s="83">
        <f ca="1">IF($A49&lt;&gt;"",IF($E$5="pAu",VLOOKUP(A49,pAg!$A$2:$C$47,3),VLOOKUP(A49,pAg!$O$3:$P1217,2)),"")</f>
        <v>0.97540057502727284</v>
      </c>
      <c r="C49" s="83">
        <f ca="1">VLOOKUP(A49,pAg!$A$7:$C$47,3)</f>
        <v>0.99</v>
      </c>
      <c r="D49" s="87">
        <f ca="1">IF($A49&lt;&gt;"",1-VLOOKUP($N49,'AR sim'!$E$10:$F$38,2)*'Z087'!$E$10/'AR sim'!$D$42,"")</f>
        <v>0.99646428571428569</v>
      </c>
      <c r="E49" s="88">
        <f ca="1">VLOOKUP($A49,'cycle4 AFTA filters 2'!$A$34:$G$181,'Z087'!$I$2)</f>
        <v>0.95</v>
      </c>
      <c r="F49" s="87">
        <f>IF($L$10=1, IF($K$10="R",VLOOKUP($A49,dichroic!$F$5:$H$1232,3),VLOOKUP($A49,dichroic!$F$5:$H$1232,2)),1)</f>
        <v>1</v>
      </c>
      <c r="G49" s="83">
        <f t="shared" ca="1" si="5"/>
        <v>0.83876179745853874</v>
      </c>
      <c r="H49" s="83">
        <f t="shared" ca="1" si="6"/>
        <v>0.92314856378887566</v>
      </c>
      <c r="I49" s="83">
        <f t="shared" ca="1" si="0"/>
        <v>0.95</v>
      </c>
      <c r="J49" s="89">
        <f t="shared" ca="1" si="1"/>
        <v>0.98</v>
      </c>
      <c r="K49" s="46">
        <f ca="1">VLOOKUP($A49,'SWIR data'!$A$5:$K$795,11)/100</f>
        <v>0.7</v>
      </c>
      <c r="L49" s="90">
        <f t="shared" ca="1" si="2"/>
        <v>2.0384874577048091</v>
      </c>
      <c r="N49" s="6">
        <f t="shared" ca="1" si="3"/>
        <v>0.87804878048781076</v>
      </c>
    </row>
    <row r="50" spans="1:14" ht="15">
      <c r="A50" s="79">
        <f t="shared" ca="1" si="4"/>
        <v>0.95595818815331146</v>
      </c>
      <c r="B50" s="83">
        <f ca="1">IF($A50&lt;&gt;"",IF($E$5="pAu",VLOOKUP(A50,pAg!$A$2:$C$47,3),VLOOKUP(A50,pAg!$O$3:$P1218,2)),"")</f>
        <v>0.97531757484090931</v>
      </c>
      <c r="C50" s="83">
        <f ca="1">VLOOKUP(A50,pAg!$A$7:$C$47,3)</f>
        <v>0.99</v>
      </c>
      <c r="D50" s="87">
        <f ca="1">IF($A50&lt;&gt;"",1-VLOOKUP($N50,'AR sim'!$E$10:$F$38,2)*'Z087'!$E$10/'AR sim'!$D$42,"")</f>
        <v>0.99513839285714289</v>
      </c>
      <c r="E50" s="88">
        <f ca="1">VLOOKUP($A50,'cycle4 AFTA filters 2'!$A$34:$G$181,'Z087'!$I$2)</f>
        <v>0.95</v>
      </c>
      <c r="F50" s="87">
        <f>IF($L$10=1, IF($K$10="R",VLOOKUP($A50,dichroic!$F$5:$H$1232,3),VLOOKUP($A50,dichroic!$F$5:$H$1232,2)),1)</f>
        <v>1</v>
      </c>
      <c r="G50" s="83">
        <f t="shared" ca="1" si="5"/>
        <v>0.83840499257073753</v>
      </c>
      <c r="H50" s="83">
        <f t="shared" ca="1" si="6"/>
        <v>0.92299146270691235</v>
      </c>
      <c r="I50" s="83">
        <f t="shared" ca="1" si="0"/>
        <v>0.95</v>
      </c>
      <c r="J50" s="89">
        <f t="shared" ca="1" si="1"/>
        <v>0.98</v>
      </c>
      <c r="K50" s="46">
        <f ca="1">VLOOKUP($A50,'SWIR data'!$A$5:$K$795,11)/100</f>
        <v>0.7</v>
      </c>
      <c r="L50" s="90">
        <f t="shared" ca="1" si="2"/>
        <v>2.0376202957872844</v>
      </c>
      <c r="N50" s="6">
        <f t="shared" ca="1" si="3"/>
        <v>0.90243902439024992</v>
      </c>
    </row>
    <row r="51" spans="1:14" ht="15">
      <c r="A51" s="79">
        <f t="shared" ca="1" si="4"/>
        <v>0.96125435540069826</v>
      </c>
      <c r="B51" s="83">
        <f ca="1">IF($A51&lt;&gt;"",IF($E$5="pAu",VLOOKUP(A51,pAg!$A$2:$C$47,3),VLOOKUP(A51,pAg!$O$3:$P1219,2)),"")</f>
        <v>0.97528227947727275</v>
      </c>
      <c r="C51" s="83">
        <f ca="1">VLOOKUP(A51,pAg!$A$7:$C$47,3)</f>
        <v>0.99</v>
      </c>
      <c r="D51" s="87">
        <f ca="1">IF($A51&lt;&gt;"",1-VLOOKUP($N51,'AR sim'!$E$10:$F$38,2)*'Z087'!$E$10/'AR sim'!$D$42,"")</f>
        <v>0.99513839285714289</v>
      </c>
      <c r="E51" s="88">
        <f ca="1">VLOOKUP($A51,'cycle4 AFTA filters 2'!$A$34:$G$181,'Z087'!$I$2)</f>
        <v>0.8888888888888834</v>
      </c>
      <c r="F51" s="87">
        <f>IF($L$10=1, IF($K$10="R",VLOOKUP($A51,dichroic!$F$5:$H$1232,3),VLOOKUP($A51,dichroic!$F$5:$H$1232,2)),1)</f>
        <v>1</v>
      </c>
      <c r="G51" s="83">
        <f t="shared" ca="1" si="5"/>
        <v>0.78433057318886557</v>
      </c>
      <c r="H51" s="83">
        <f t="shared" ca="1" si="6"/>
        <v>0.92292466040438759</v>
      </c>
      <c r="I51" s="83">
        <f t="shared" ca="1" si="0"/>
        <v>0.8888888888888834</v>
      </c>
      <c r="J51" s="89">
        <f t="shared" ca="1" si="1"/>
        <v>0.98</v>
      </c>
      <c r="K51" s="46">
        <f ca="1">VLOOKUP($A51,'SWIR data'!$A$5:$K$795,11)/100</f>
        <v>0.7</v>
      </c>
      <c r="L51" s="90">
        <f t="shared" ca="1" si="2"/>
        <v>1.9062003550763287</v>
      </c>
      <c r="N51" s="6">
        <f t="shared" ca="1" si="3"/>
        <v>0.92682926829268908</v>
      </c>
    </row>
    <row r="52" spans="1:14" ht="15">
      <c r="A52" s="79">
        <f t="shared" ca="1" si="4"/>
        <v>0.96655052264808505</v>
      </c>
      <c r="B52" s="83">
        <f ca="1">IF($A52&lt;&gt;"",IF($E$5="pAu",VLOOKUP(A52,pAg!$A$2:$C$47,3),VLOOKUP(A52,pAg!$O$3:$P1220,2)),"")</f>
        <v>0.97521104290454563</v>
      </c>
      <c r="C52" s="83">
        <f ca="1">VLOOKUP(A52,pAg!$A$7:$C$47,3)</f>
        <v>0.99</v>
      </c>
      <c r="D52" s="87">
        <f ca="1">IF($A52&lt;&gt;"",1-VLOOKUP($N52,'AR sim'!$E$10:$F$38,2)*'Z087'!$E$10/'AR sim'!$D$42,"")</f>
        <v>0.99381249999999999</v>
      </c>
      <c r="E52" s="88">
        <f ca="1">VLOOKUP($A52,'cycle4 AFTA filters 2'!$A$34:$G$181,'Z087'!$I$2)</f>
        <v>0.8888888888888834</v>
      </c>
      <c r="F52" s="87">
        <f>IF($L$10=1, IF($K$10="R",VLOOKUP($A52,dichroic!$F$5:$H$1232,3),VLOOKUP($A52,dichroic!$F$5:$H$1232,2)),1)</f>
        <v>1</v>
      </c>
      <c r="G52" s="83">
        <f t="shared" ca="1" si="5"/>
        <v>0.78404416964429302</v>
      </c>
      <c r="H52" s="83">
        <f t="shared" ca="1" si="6"/>
        <v>0.92278984079376492</v>
      </c>
      <c r="I52" s="83">
        <f t="shared" ca="1" si="0"/>
        <v>0.8888888888888834</v>
      </c>
      <c r="J52" s="89">
        <f t="shared" ca="1" si="1"/>
        <v>0.98</v>
      </c>
      <c r="K52" s="46">
        <f ca="1">VLOOKUP($A52,'SWIR data'!$A$5:$K$795,11)/100</f>
        <v>0.7</v>
      </c>
      <c r="L52" s="90">
        <f t="shared" ca="1" si="2"/>
        <v>1.905504293291896</v>
      </c>
      <c r="N52" s="6">
        <f t="shared" ca="1" si="3"/>
        <v>0.95121951219512824</v>
      </c>
    </row>
    <row r="53" spans="1:14" ht="15">
      <c r="A53" s="79">
        <f t="shared" ca="1" si="4"/>
        <v>0.97184668989547185</v>
      </c>
      <c r="B53" s="83">
        <f ca="1">IF($A53&lt;&gt;"",IF($E$5="pAu",VLOOKUP(A53,pAg!$A$2:$C$47,3),VLOOKUP(A53,pAg!$O$3:$P1221,2)),"")</f>
        <v>0.97516495812272741</v>
      </c>
      <c r="C53" s="83">
        <f ca="1">VLOOKUP(A53,pAg!$A$7:$C$47,3)</f>
        <v>0.99</v>
      </c>
      <c r="D53" s="87">
        <f ca="1">IF($A53&lt;&gt;"",1-VLOOKUP($N53,'AR sim'!$E$10:$F$38,2)*'Z087'!$E$10/'AR sim'!$D$42,"")</f>
        <v>0.99248660714285719</v>
      </c>
      <c r="E53" s="88">
        <f ca="1">VLOOKUP($A53,'cycle4 AFTA filters 2'!$A$34:$G$181,'Z087'!$I$2)</f>
        <v>0.66203703703703143</v>
      </c>
      <c r="F53" s="87">
        <f>IF($L$10=1, IF($K$10="R",VLOOKUP($A53,dichroic!$F$5:$H$1232,3),VLOOKUP($A53,dichroic!$F$5:$H$1232,2)),1)</f>
        <v>1</v>
      </c>
      <c r="G53" s="83">
        <f t="shared" ca="1" si="5"/>
        <v>0.58381160066149596</v>
      </c>
      <c r="H53" s="83">
        <f t="shared" ca="1" si="6"/>
        <v>0.92270262774595524</v>
      </c>
      <c r="I53" s="83">
        <f t="shared" ca="1" si="0"/>
        <v>0.66203703703703143</v>
      </c>
      <c r="J53" s="89">
        <f t="shared" ca="1" si="1"/>
        <v>0.98</v>
      </c>
      <c r="K53" s="46">
        <f ca="1">VLOOKUP($A53,'SWIR data'!$A$5:$K$795,11)/100</f>
        <v>0.7</v>
      </c>
      <c r="L53" s="90">
        <f t="shared" ca="1" si="2"/>
        <v>1.4188684191590835</v>
      </c>
      <c r="N53" s="6">
        <f t="shared" ca="1" si="3"/>
        <v>0.9756097560975675</v>
      </c>
    </row>
    <row r="54" spans="1:14" ht="15">
      <c r="A54" s="79" t="str">
        <f t="shared" ca="1" si="4"/>
        <v/>
      </c>
      <c r="B54" s="83" t="str">
        <f ca="1">IF($A54&lt;&gt;"",IF($E$5="pAu",VLOOKUP(A54,pAg!$A$2:$C$47,3),VLOOKUP(A54,pAg!$O$3:$P1222,2)),"")</f>
        <v/>
      </c>
      <c r="C54" s="83" t="e">
        <f ca="1">VLOOKUP(A54,pAg!$A$7:$C$47,3)</f>
        <v>#N/A</v>
      </c>
      <c r="D54" s="87" t="str">
        <f ca="1">IF($A54&lt;&gt;"",1-VLOOKUP($N54,'AR sim'!$E$10:$F$38,2)*'Z087'!$E$10/'AR sim'!$D$42,"")</f>
        <v/>
      </c>
      <c r="E54" s="88">
        <f t="shared" ref="E54" ca="1" si="7">E53</f>
        <v>0.66203703703703143</v>
      </c>
      <c r="F54" s="87">
        <f>IF($L$10=1, IF($K$10="R",VLOOKUP($A54,dichroic!$F$5:$H$1232,3),VLOOKUP($A54,dichroic!$F$5:$H$1232,2)),1)</f>
        <v>1</v>
      </c>
      <c r="G54" s="83" t="str">
        <f t="shared" ca="1" si="5"/>
        <v/>
      </c>
      <c r="H54" s="83" t="str">
        <f t="shared" ca="1" si="6"/>
        <v/>
      </c>
      <c r="I54" s="83" t="str">
        <f t="shared" ca="1" si="0"/>
        <v/>
      </c>
      <c r="J54" s="89" t="str">
        <f t="shared" ca="1" si="1"/>
        <v/>
      </c>
      <c r="K54" s="46" t="e">
        <f ca="1">VLOOKUP($A54,'SWIR data'!$A$5:$K$795,11)/100</f>
        <v>#N/A</v>
      </c>
      <c r="L54" s="90" t="str">
        <f t="shared" ca="1" si="2"/>
        <v/>
      </c>
      <c r="N54" s="6" t="e">
        <f t="shared" ca="1" si="3"/>
        <v>#VALUE!</v>
      </c>
    </row>
    <row r="55" spans="1:14" ht="19.5" customHeight="1">
      <c r="A55" s="80" t="s">
        <v>335</v>
      </c>
      <c r="B55" s="81">
        <f ca="1">AVERAGE(B13:B54)</f>
        <v>0.97751269634124149</v>
      </c>
      <c r="C55" s="81"/>
      <c r="D55" s="81">
        <f t="shared" ref="D55:E55" ca="1" si="8">AVERAGE(D13:D54)</f>
        <v>0.99539710365853695</v>
      </c>
      <c r="E55" s="81">
        <f t="shared" ca="1" si="8"/>
        <v>0.89746472663139287</v>
      </c>
      <c r="F55" s="81"/>
      <c r="G55" s="81">
        <f t="shared" ref="G55:L55" ca="1" si="9">AVERAGE(G13:G54)</f>
        <v>0.80580454718198768</v>
      </c>
      <c r="H55" s="81">
        <f t="shared" ca="1" si="9"/>
        <v>0.90948998742950693</v>
      </c>
      <c r="I55" s="81">
        <f t="shared" ca="1" si="9"/>
        <v>0.90320686540198714</v>
      </c>
      <c r="J55" s="81">
        <f t="shared" ca="1" si="9"/>
        <v>0.97999999999999965</v>
      </c>
      <c r="K55" s="81" t="e">
        <f t="shared" ca="1" si="9"/>
        <v>#N/A</v>
      </c>
      <c r="L55" s="81">
        <f t="shared" ca="1" si="9"/>
        <v>1.9604336691474171</v>
      </c>
      <c r="N55" s="6"/>
    </row>
    <row r="56" spans="1:14" ht="15">
      <c r="A56" s="82" t="s">
        <v>370</v>
      </c>
      <c r="B56" s="83">
        <f ca="1">STDEV(B13:B54)</f>
        <v>1.6375095907578286E-3</v>
      </c>
      <c r="C56" s="83"/>
      <c r="D56" s="83">
        <f t="shared" ref="D56:E56" ca="1" si="10">STDEV(D13:D54)</f>
        <v>2.3380821562799755E-3</v>
      </c>
      <c r="E56" s="83">
        <f t="shared" ca="1" si="10"/>
        <v>0.14483840426912103</v>
      </c>
      <c r="F56" s="83"/>
      <c r="G56" s="83">
        <f t="shared" ref="G56:L56" ca="1" si="11">STDEV(G13:G54)</f>
        <v>0.12577685266671726</v>
      </c>
      <c r="H56" s="83">
        <f t="shared" ca="1" si="11"/>
        <v>1.2877428809580694E-2</v>
      </c>
      <c r="I56" s="83">
        <f t="shared" ca="1" si="11"/>
        <v>0.14171508757965803</v>
      </c>
      <c r="J56" s="83">
        <f t="shared" ca="1" si="11"/>
        <v>2.6656007498500224E-8</v>
      </c>
      <c r="K56" s="83" t="e">
        <f t="shared" ca="1" si="11"/>
        <v>#N/A</v>
      </c>
      <c r="L56" s="83">
        <f t="shared" ca="1" si="11"/>
        <v>0.30281175910030311</v>
      </c>
      <c r="N56" s="6"/>
    </row>
    <row r="57" spans="1:14" ht="15">
      <c r="A57" s="82" t="s">
        <v>336</v>
      </c>
      <c r="B57" s="83">
        <f ca="1">MIN(B13:B54)</f>
        <v>0.97516495812272741</v>
      </c>
      <c r="C57" s="83"/>
      <c r="D57" s="83">
        <f t="shared" ref="D57:E57" ca="1" si="12">MIN(D13:D54)</f>
        <v>0.98762499999999998</v>
      </c>
      <c r="E57" s="83">
        <f t="shared" ca="1" si="12"/>
        <v>0.20833333333333637</v>
      </c>
      <c r="F57" s="83"/>
      <c r="G57" s="83">
        <f t="shared" ref="G57:L57" ca="1" si="13">MIN(G13:G54)</f>
        <v>0.1885251751617886</v>
      </c>
      <c r="H57" s="83">
        <f t="shared" ca="1" si="13"/>
        <v>0.88916402821364071</v>
      </c>
      <c r="I57" s="83">
        <f t="shared" ca="1" si="13"/>
        <v>0.20833333333333637</v>
      </c>
      <c r="J57" s="83">
        <f t="shared" ca="1" si="13"/>
        <v>0.98</v>
      </c>
      <c r="K57" s="83" t="e">
        <f t="shared" ca="1" si="13"/>
        <v>#N/A</v>
      </c>
      <c r="L57" s="83">
        <f t="shared" ca="1" si="13"/>
        <v>0.46715974028268109</v>
      </c>
      <c r="N57" s="6"/>
    </row>
    <row r="58" spans="1:14" ht="15">
      <c r="A58" s="82" t="s">
        <v>337</v>
      </c>
      <c r="B58" s="83">
        <f ca="1">MAX(B13:B54)</f>
        <v>0.98021674679545456</v>
      </c>
      <c r="C58" s="83"/>
      <c r="D58" s="83">
        <f t="shared" ref="D58:E58" ca="1" si="14">MAX(D13:D54)</f>
        <v>0.9973482142857143</v>
      </c>
      <c r="E58" s="83">
        <f t="shared" ca="1" si="14"/>
        <v>0.95</v>
      </c>
      <c r="F58" s="83"/>
      <c r="G58" s="83">
        <f t="shared" ref="G58:L58" ca="1" si="15">MAX(G13:G54)</f>
        <v>0.85770882000619664</v>
      </c>
      <c r="H58" s="83">
        <f t="shared" ca="1" si="15"/>
        <v>0.92496272805128177</v>
      </c>
      <c r="I58" s="83">
        <f t="shared" ca="1" si="15"/>
        <v>0.95</v>
      </c>
      <c r="J58" s="83">
        <f t="shared" ca="1" si="15"/>
        <v>0.98</v>
      </c>
      <c r="K58" s="83" t="e">
        <f t="shared" ca="1" si="15"/>
        <v>#N/A</v>
      </c>
      <c r="L58" s="83">
        <f t="shared" ca="1" si="15"/>
        <v>2.0980147471985884</v>
      </c>
      <c r="N58" s="6"/>
    </row>
    <row r="59" spans="1:14">
      <c r="L59" s="5"/>
      <c r="M59" s="5"/>
    </row>
    <row r="60" spans="1:14">
      <c r="G60" s="6"/>
      <c r="H60" s="6"/>
      <c r="I60" s="6"/>
      <c r="J60" s="6"/>
      <c r="L60" s="7"/>
      <c r="M60" s="7"/>
    </row>
    <row r="61" spans="1:14">
      <c r="E61" s="6"/>
      <c r="F61" s="6"/>
      <c r="G61" s="6"/>
      <c r="H61" s="6"/>
      <c r="I61" s="6"/>
      <c r="J61" s="6"/>
      <c r="L61" s="7"/>
      <c r="M61" s="7"/>
    </row>
  </sheetData>
  <mergeCells count="12">
    <mergeCell ref="A11:D11"/>
    <mergeCell ref="I1:J1"/>
    <mergeCell ref="H3:J3"/>
    <mergeCell ref="H4:K4"/>
    <mergeCell ref="A5:B5"/>
    <mergeCell ref="H5:K5"/>
    <mergeCell ref="H6:K6"/>
    <mergeCell ref="H7:K7"/>
    <mergeCell ref="H8:K8"/>
    <mergeCell ref="A9:B9"/>
    <mergeCell ref="H9:J9"/>
    <mergeCell ref="A10:B10"/>
  </mergeCells>
  <phoneticPr fontId="26" type="noConversion"/>
  <printOptions gridLines="1"/>
  <pageMargins left="0.24" right="0.19" top="0.62" bottom="0.7" header="0.5" footer="0.5"/>
  <pageSetup scale="53" orientation="landscape" horizontalDpi="1200" verticalDpi="1200"/>
  <headerFooter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61"/>
  <sheetViews>
    <sheetView zoomScale="75" zoomScaleNormal="75" zoomScalePageLayoutView="75" workbookViewId="0">
      <selection activeCell="A13" sqref="A13:L54"/>
    </sheetView>
  </sheetViews>
  <sheetFormatPr baseColWidth="10" defaultColWidth="8.83203125" defaultRowHeight="12"/>
  <cols>
    <col min="1" max="1" width="11.33203125" customWidth="1"/>
    <col min="2" max="2" width="12.6640625" customWidth="1"/>
    <col min="3" max="3" width="12" customWidth="1"/>
    <col min="4" max="4" width="16" customWidth="1"/>
    <col min="5" max="5" width="10.6640625" customWidth="1"/>
    <col min="6" max="6" width="9.6640625" customWidth="1"/>
    <col min="7" max="7" width="9.83203125" customWidth="1"/>
    <col min="8" max="8" width="11.6640625" customWidth="1"/>
    <col min="9" max="9" width="12.5" customWidth="1"/>
    <col min="10" max="10" width="10.1640625" customWidth="1"/>
    <col min="11" max="11" width="9.6640625" customWidth="1"/>
    <col min="12" max="12" width="12" bestFit="1" customWidth="1"/>
    <col min="13" max="13" width="12.1640625" customWidth="1"/>
    <col min="14" max="14" width="10.33203125" customWidth="1"/>
  </cols>
  <sheetData>
    <row r="1" spans="1:15" ht="15.75" customHeight="1" thickBot="1">
      <c r="A1" s="30" t="s">
        <v>309</v>
      </c>
      <c r="G1" t="s">
        <v>238</v>
      </c>
      <c r="I1" s="211" t="str">
        <f ca="1">OFFSET('cycle4 AFTA filters 2'!$A$25,0,I2-1)</f>
        <v>Y106</v>
      </c>
      <c r="J1" s="212"/>
    </row>
    <row r="2" spans="1:15" ht="13" customHeight="1" thickBot="1">
      <c r="A2" s="91" t="s">
        <v>334</v>
      </c>
      <c r="B2" s="91"/>
      <c r="C2" s="91"/>
      <c r="D2" s="91"/>
      <c r="E2" s="91"/>
      <c r="F2" s="91"/>
      <c r="G2" s="91"/>
      <c r="H2" s="91" t="s">
        <v>40</v>
      </c>
      <c r="I2" s="91">
        <v>6</v>
      </c>
      <c r="J2" s="91"/>
      <c r="K2" s="91"/>
      <c r="L2" s="91"/>
      <c r="M2" s="91"/>
      <c r="N2" s="91"/>
      <c r="O2" s="91"/>
    </row>
    <row r="3" spans="1:15" ht="14" thickBot="1">
      <c r="A3" s="91"/>
      <c r="B3" s="178" t="s">
        <v>310</v>
      </c>
      <c r="C3" s="178"/>
      <c r="D3" s="178" t="s">
        <v>333</v>
      </c>
      <c r="E3" s="207">
        <f ca="1">HLOOKUP($I$1,'cycle4 AFTA filters 2'!$B$25:$G$28,2)</f>
        <v>0.92714285714285716</v>
      </c>
      <c r="F3" s="128"/>
      <c r="G3" s="94"/>
      <c r="H3" s="213" t="s">
        <v>314</v>
      </c>
      <c r="I3" s="214"/>
      <c r="J3" s="214"/>
      <c r="K3" s="176" t="s">
        <v>323</v>
      </c>
      <c r="L3" s="93">
        <v>2.36</v>
      </c>
      <c r="M3" s="91" t="s">
        <v>237</v>
      </c>
      <c r="N3" s="91"/>
      <c r="O3" s="91"/>
    </row>
    <row r="4" spans="1:15" ht="13">
      <c r="A4" s="91"/>
      <c r="B4" s="178" t="s">
        <v>311</v>
      </c>
      <c r="C4" s="178"/>
      <c r="D4" s="155" t="s">
        <v>338</v>
      </c>
      <c r="E4" s="207">
        <f ca="1">HLOOKUP($I$1,'cycle4 AFTA filters 2'!$B$25:$G$28,3)</f>
        <v>1.1920408163265308</v>
      </c>
      <c r="F4" s="128"/>
      <c r="G4" s="94"/>
      <c r="H4" s="213" t="s">
        <v>313</v>
      </c>
      <c r="I4" s="213"/>
      <c r="J4" s="213"/>
      <c r="K4" s="213"/>
      <c r="L4" s="204">
        <f>F5+F6</f>
        <v>5</v>
      </c>
      <c r="M4" s="91"/>
      <c r="N4" s="105" t="s">
        <v>321</v>
      </c>
      <c r="O4" s="97">
        <f>$L$3^2*PI()/4</f>
        <v>4.3743536108584271</v>
      </c>
    </row>
    <row r="5" spans="1:15" ht="58.25" customHeight="1">
      <c r="A5" s="215">
        <v>41777</v>
      </c>
      <c r="B5" s="216"/>
      <c r="C5" s="177"/>
      <c r="D5" s="156" t="s">
        <v>19</v>
      </c>
      <c r="E5" s="99" t="s">
        <v>306</v>
      </c>
      <c r="F5" s="129">
        <v>2</v>
      </c>
      <c r="G5" s="94"/>
      <c r="H5" s="213" t="s">
        <v>195</v>
      </c>
      <c r="I5" s="213"/>
      <c r="J5" s="213"/>
      <c r="K5" s="213"/>
      <c r="L5" s="96">
        <f>ImC!$L$5</f>
        <v>0</v>
      </c>
      <c r="M5" s="91" t="s">
        <v>236</v>
      </c>
      <c r="N5" s="91"/>
      <c r="O5" s="97">
        <f ca="1">$O$4*(1-$L$6^2-$L$7-$L$8)</f>
        <v>3.5427889894342397</v>
      </c>
    </row>
    <row r="6" spans="1:15" ht="13">
      <c r="A6" s="91"/>
      <c r="B6" s="91"/>
      <c r="C6" s="91"/>
      <c r="D6" s="180" t="s">
        <v>20</v>
      </c>
      <c r="E6" s="100"/>
      <c r="F6" s="128">
        <v>3</v>
      </c>
      <c r="G6" s="94"/>
      <c r="H6" s="213" t="s">
        <v>315</v>
      </c>
      <c r="I6" s="213"/>
      <c r="J6" s="213"/>
      <c r="K6" s="213"/>
      <c r="L6" s="96">
        <v>0.31</v>
      </c>
      <c r="M6" s="91"/>
      <c r="N6" s="91"/>
      <c r="O6" s="97"/>
    </row>
    <row r="7" spans="1:15" ht="13">
      <c r="A7" s="154"/>
      <c r="B7" s="133"/>
      <c r="C7" s="133"/>
      <c r="D7" s="91" t="s">
        <v>333</v>
      </c>
      <c r="E7" s="209">
        <f ca="1">0.5*(E3+E4)</f>
        <v>1.0595918367346939</v>
      </c>
      <c r="F7" s="129"/>
      <c r="G7" s="91"/>
      <c r="H7" s="217" t="s">
        <v>235</v>
      </c>
      <c r="I7" s="217"/>
      <c r="J7" s="217"/>
      <c r="K7" s="217"/>
      <c r="L7" s="106">
        <v>5.3999999999999999E-2</v>
      </c>
      <c r="M7" s="91"/>
      <c r="N7" s="91"/>
      <c r="O7" s="91"/>
    </row>
    <row r="8" spans="1:15" ht="14" thickBot="1">
      <c r="A8" s="91" t="s">
        <v>248</v>
      </c>
      <c r="B8" s="91"/>
      <c r="C8" s="91"/>
      <c r="D8" s="91"/>
      <c r="E8" s="127">
        <f ca="1">1/E10</f>
        <v>3.9999999999999973</v>
      </c>
      <c r="F8" s="128"/>
      <c r="G8" s="102"/>
      <c r="H8" s="217" t="s">
        <v>234</v>
      </c>
      <c r="I8" s="217"/>
      <c r="J8" s="217"/>
      <c r="K8" s="217"/>
      <c r="L8" s="106">
        <f ca="1">OFFSET('cycle4 AFTA filters 2'!$A$25,4,'Y106'!I2-1)</f>
        <v>0.04</v>
      </c>
      <c r="M8" s="91"/>
      <c r="N8" s="91"/>
      <c r="O8" s="91"/>
    </row>
    <row r="9" spans="1:15" ht="14" thickBot="1">
      <c r="A9" s="217" t="s">
        <v>312</v>
      </c>
      <c r="B9" s="218"/>
      <c r="C9" s="179"/>
      <c r="D9" s="178" t="s">
        <v>333</v>
      </c>
      <c r="E9" s="103">
        <f ca="1">(E4-E3)/41</f>
        <v>6.4609258337481375E-3</v>
      </c>
      <c r="F9" s="103"/>
      <c r="G9" s="91"/>
      <c r="H9" s="217" t="s">
        <v>317</v>
      </c>
      <c r="I9" s="217"/>
      <c r="J9" s="217"/>
      <c r="K9" s="178"/>
      <c r="L9" s="101">
        <v>0.02</v>
      </c>
      <c r="M9" s="91"/>
      <c r="N9" s="91"/>
      <c r="O9" s="91"/>
    </row>
    <row r="10" spans="1:15" ht="14.25" customHeight="1">
      <c r="A10" s="217" t="s">
        <v>316</v>
      </c>
      <c r="B10" s="218"/>
      <c r="C10" s="179"/>
      <c r="D10" s="179"/>
      <c r="E10" s="102">
        <f ca="1">(E4-E3)/((E3+E4)/2)</f>
        <v>0.25000000000000017</v>
      </c>
      <c r="F10" s="102"/>
      <c r="G10" s="91"/>
      <c r="H10" s="91"/>
      <c r="I10" s="91" t="s">
        <v>190</v>
      </c>
      <c r="J10" s="91"/>
      <c r="K10" s="104" t="s">
        <v>186</v>
      </c>
      <c r="L10" s="96">
        <v>0</v>
      </c>
      <c r="M10" s="91"/>
      <c r="N10" s="91"/>
      <c r="O10" s="91"/>
    </row>
    <row r="11" spans="1:15" ht="14.25" customHeight="1" thickBot="1">
      <c r="A11" s="219" t="s">
        <v>247</v>
      </c>
      <c r="B11" s="220"/>
      <c r="C11" s="220"/>
      <c r="D11" s="220"/>
      <c r="E11" s="102">
        <v>0.95</v>
      </c>
      <c r="F11" s="102"/>
      <c r="G11" s="91"/>
      <c r="H11" s="91"/>
      <c r="I11" s="91"/>
      <c r="J11" s="91"/>
      <c r="K11" s="91"/>
      <c r="L11" s="91" t="s">
        <v>342</v>
      </c>
      <c r="M11" s="91"/>
      <c r="N11" s="91"/>
      <c r="O11" s="91"/>
    </row>
    <row r="12" spans="1:15" ht="64.5" customHeight="1">
      <c r="A12" s="84" t="s">
        <v>165</v>
      </c>
      <c r="B12" s="85" t="s">
        <v>0</v>
      </c>
      <c r="C12" s="85" t="s">
        <v>18</v>
      </c>
      <c r="D12" s="85" t="s">
        <v>367</v>
      </c>
      <c r="E12" s="85" t="s">
        <v>196</v>
      </c>
      <c r="F12" s="85" t="s">
        <v>189</v>
      </c>
      <c r="G12" s="85" t="s">
        <v>191</v>
      </c>
      <c r="H12" s="85" t="s">
        <v>324</v>
      </c>
      <c r="I12" s="86" t="s">
        <v>325</v>
      </c>
      <c r="J12" s="85" t="s">
        <v>183</v>
      </c>
      <c r="K12" s="85" t="s">
        <v>341</v>
      </c>
      <c r="L12" s="85" t="s">
        <v>320</v>
      </c>
      <c r="N12" s="5" t="s">
        <v>322</v>
      </c>
    </row>
    <row r="13" spans="1:15" ht="15.75" customHeight="1">
      <c r="A13" s="78">
        <f ca="1">E3</f>
        <v>0.92714285714285716</v>
      </c>
      <c r="B13" s="83">
        <f ca="1">IF($A13&lt;&gt;"",IF($E$5="pAu",VLOOKUP(A13,pAg!$A$2:$C$47,3),VLOOKUP(A13,pAg!$O$3:$P1203,2)),"")</f>
        <v>0.97593822960909093</v>
      </c>
      <c r="C13" s="83">
        <f ca="1">VLOOKUP(A13,pAg!$A$7:$C$47,3)</f>
        <v>0.99</v>
      </c>
      <c r="D13" s="87">
        <f ca="1">IF($A13&lt;&gt;"",1-VLOOKUP($N13,'AR sim'!$E$10:$F$38,2)*'Y106'!$E$10/'AR sim'!$D$42,"")</f>
        <v>0.98762499999999998</v>
      </c>
      <c r="E13" s="208">
        <f ca="1">VLOOKUP($A13,'cycle4 AFTA filters 2'!$A$34:$G$181,'Y106'!$I$2)</f>
        <v>0.32922444786852156</v>
      </c>
      <c r="F13" s="87">
        <f>IF($L$10=1, IF($K$10="R",VLOOKUP($A13,dichroic!$F$5:$H$1232,3),VLOOKUP($A13,dichroic!$F$5:$H$1232,2)),1)</f>
        <v>1</v>
      </c>
      <c r="G13" s="83">
        <f ca="1">IF($A13&lt;&gt;"",$B13^$L$4*$D13^(2*($L$5))*$E13*$F13,"")</f>
        <v>0.29147662415482661</v>
      </c>
      <c r="H13" s="83">
        <f ca="1">IF($A13&lt;&gt;"",$B13^$F$5*$C13^$F$6,"")</f>
        <v>0.92416654934512654</v>
      </c>
      <c r="I13" s="83">
        <f t="shared" ref="I13:I54" ca="1" si="0">IF($A13&lt;&gt;"",$D13^(2*($L$5))*$E13,"")</f>
        <v>0.32922444786852156</v>
      </c>
      <c r="J13" s="89">
        <f t="shared" ref="J13:J54" ca="1" si="1">IF($A13&lt;&gt;"",(1-$L$9),"")</f>
        <v>0.98</v>
      </c>
      <c r="K13" s="46">
        <f ca="1">VLOOKUP($A13,'SWIR data'!$A$5:$K$795,11)/100</f>
        <v>0.7</v>
      </c>
      <c r="L13" s="90">
        <f t="shared" ref="L13:L54" ca="1" si="2">IF($A13&lt;&gt;"",G13*$K13*$J13*$O$5,"")</f>
        <v>0.70839115986696277</v>
      </c>
      <c r="N13" s="6">
        <f t="shared" ref="N13:N54" ca="1" si="3">($A13-$E$3)/($E$4-$E$3)</f>
        <v>0</v>
      </c>
    </row>
    <row r="14" spans="1:15" ht="15.75" customHeight="1">
      <c r="A14" s="79">
        <f t="shared" ref="A14:A54" ca="1" si="4">IF(A13&lt;&gt;"",IF(A13+$E$9&gt;$E$4,"",A13+$E$9),"")</f>
        <v>0.93360378297660529</v>
      </c>
      <c r="B14" s="83">
        <f ca="1">IF($A14&lt;&gt;"",IF($E$5="pAu",VLOOKUP(A14,pAg!$A$2:$C$47,3),VLOOKUP(A14,pAg!$O$3:$P1204,2)),"")</f>
        <v>0.9757861773272728</v>
      </c>
      <c r="C14" s="83">
        <f ca="1">VLOOKUP(A14,pAg!$A$7:$C$47,3)</f>
        <v>0.99</v>
      </c>
      <c r="D14" s="87">
        <f ca="1">IF($A14&lt;&gt;"",1-VLOOKUP($N14,'AR sim'!$E$10:$F$38,2)*'Y106'!$E$10/'AR sim'!$D$42,"")</f>
        <v>0.98762499999999998</v>
      </c>
      <c r="E14" s="88">
        <f ca="1">VLOOKUP($A14,'cycle4 AFTA filters 2'!$A$34:$G$181,'Y106'!$I$2)</f>
        <v>0.56831022085259986</v>
      </c>
      <c r="F14" s="87">
        <f>IF($L$10=1, IF($K$10="R",VLOOKUP($A14,dichroic!$F$5:$H$1232,3),VLOOKUP($A14,dichroic!$F$5:$H$1232,2)),1)</f>
        <v>1</v>
      </c>
      <c r="G14" s="83">
        <f t="shared" ref="G14:G54" ca="1" si="5">IF($A14&lt;&gt;"",$B14^$L$4*$D14^(2*($L$5))*$E14*$F14,"")</f>
        <v>0.50275775173991866</v>
      </c>
      <c r="H14" s="83">
        <f t="shared" ref="H14:H54" ca="1" si="6">IF($A14&lt;&gt;"",$B14^$F$5*$C14^$F$6,"")</f>
        <v>0.92387859938757766</v>
      </c>
      <c r="I14" s="83">
        <f t="shared" ca="1" si="0"/>
        <v>0.56831022085259986</v>
      </c>
      <c r="J14" s="89">
        <f t="shared" ca="1" si="1"/>
        <v>0.98</v>
      </c>
      <c r="K14" s="46">
        <f ca="1">VLOOKUP($A14,'SWIR data'!$A$5:$K$795,11)/100</f>
        <v>0.7</v>
      </c>
      <c r="L14" s="90">
        <f t="shared" ca="1" si="2"/>
        <v>1.221878934270791</v>
      </c>
      <c r="N14" s="6">
        <f t="shared" ca="1" si="3"/>
        <v>2.4390243902439004E-2</v>
      </c>
    </row>
    <row r="15" spans="1:15" ht="16.5" customHeight="1">
      <c r="A15" s="79">
        <f t="shared" ca="1" si="4"/>
        <v>0.94006470881035342</v>
      </c>
      <c r="B15" s="83">
        <f ca="1">IF($A15&lt;&gt;"",IF($E$5="pAu",VLOOKUP(A15,pAg!$A$2:$C$47,3),VLOOKUP(A15,pAg!$O$3:$P1205,2)),"")</f>
        <v>0.97559227172727281</v>
      </c>
      <c r="C15" s="83">
        <f ca="1">VLOOKUP(A15,pAg!$A$7:$C$47,3)</f>
        <v>0.99</v>
      </c>
      <c r="D15" s="87">
        <f ca="1">IF($A15&lt;&gt;"",1-VLOOKUP($N15,'AR sim'!$E$10:$F$38,2)*'Y106'!$E$10/'AR sim'!$D$42,"")</f>
        <v>0.99027678571428568</v>
      </c>
      <c r="E15" s="88">
        <f ca="1">VLOOKUP($A15,'cycle4 AFTA filters 2'!$A$34:$G$181,'Y106'!$I$2)</f>
        <v>0.80739599383667815</v>
      </c>
      <c r="F15" s="87">
        <f>IF($L$10=1, IF($K$10="R",VLOOKUP($A15,dichroic!$F$5:$H$1232,3),VLOOKUP($A15,dichroic!$F$5:$H$1232,2)),1)</f>
        <v>1</v>
      </c>
      <c r="G15" s="83">
        <f t="shared" ca="1" si="5"/>
        <v>0.71355646757526592</v>
      </c>
      <c r="H15" s="83">
        <f t="shared" ca="1" si="6"/>
        <v>0.92351145453827699</v>
      </c>
      <c r="I15" s="83">
        <f t="shared" ca="1" si="0"/>
        <v>0.80739599383667815</v>
      </c>
      <c r="J15" s="89">
        <f t="shared" ca="1" si="1"/>
        <v>0.98</v>
      </c>
      <c r="K15" s="46">
        <f ca="1">VLOOKUP($A15,'SWIR data'!$A$5:$K$795,11)/100</f>
        <v>0.7</v>
      </c>
      <c r="L15" s="90">
        <f t="shared" ca="1" si="2"/>
        <v>1.7341942777123558</v>
      </c>
      <c r="N15" s="6">
        <f t="shared" ca="1" si="3"/>
        <v>4.8780487804878009E-2</v>
      </c>
    </row>
    <row r="16" spans="1:15" ht="14.25" customHeight="1">
      <c r="A16" s="79">
        <f t="shared" ca="1" si="4"/>
        <v>0.94652563464410155</v>
      </c>
      <c r="B16" s="83">
        <f ca="1">IF($A16&lt;&gt;"",IF($E$5="pAu",VLOOKUP(A16,pAg!$A$2:$C$47,3),VLOOKUP(A16,pAg!$O$3:$P1206,2)),"")</f>
        <v>0.97546830105909099</v>
      </c>
      <c r="C16" s="83">
        <f ca="1">VLOOKUP(A16,pAg!$A$7:$C$47,3)</f>
        <v>0.99</v>
      </c>
      <c r="D16" s="87">
        <f ca="1">IF($A16&lt;&gt;"",1-VLOOKUP($N16,'AR sim'!$E$10:$F$38,2)*'Y106'!$E$10/'AR sim'!$D$42,"")</f>
        <v>0.99292857142857138</v>
      </c>
      <c r="E16" s="88">
        <f ca="1">VLOOKUP($A16,'cycle4 AFTA filters 2'!$A$34:$G$181,'Y106'!$I$2)</f>
        <v>0.80739599383667815</v>
      </c>
      <c r="F16" s="87">
        <f>IF($L$10=1, IF($K$10="R",VLOOKUP($A16,dichroic!$F$5:$H$1232,3),VLOOKUP($A16,dichroic!$F$5:$H$1232,2)),1)</f>
        <v>1</v>
      </c>
      <c r="G16" s="83">
        <f t="shared" ca="1" si="5"/>
        <v>0.71310321678671318</v>
      </c>
      <c r="H16" s="83">
        <f t="shared" ca="1" si="6"/>
        <v>0.92327676416348103</v>
      </c>
      <c r="I16" s="83">
        <f t="shared" ca="1" si="0"/>
        <v>0.80739599383667815</v>
      </c>
      <c r="J16" s="89">
        <f t="shared" ca="1" si="1"/>
        <v>0.98</v>
      </c>
      <c r="K16" s="46">
        <f ca="1">VLOOKUP($A16,'SWIR data'!$A$5:$K$795,11)/100</f>
        <v>0.7</v>
      </c>
      <c r="L16" s="90">
        <f t="shared" ca="1" si="2"/>
        <v>1.7330927181868041</v>
      </c>
      <c r="N16" s="6">
        <f t="shared" ca="1" si="3"/>
        <v>7.3170731707317013E-2</v>
      </c>
    </row>
    <row r="17" spans="1:14" ht="15">
      <c r="A17" s="79">
        <f t="shared" ca="1" si="4"/>
        <v>0.95298656047784969</v>
      </c>
      <c r="B17" s="83">
        <f ca="1">IF($A17&lt;&gt;"",IF($E$5="pAu",VLOOKUP(A17,pAg!$A$2:$C$47,3),VLOOKUP(A17,pAg!$O$3:$P1207,2)),"")</f>
        <v>0.97535511890454529</v>
      </c>
      <c r="C17" s="83">
        <f ca="1">VLOOKUP(A17,pAg!$A$7:$C$47,3)</f>
        <v>0.99</v>
      </c>
      <c r="D17" s="87">
        <f ca="1">IF($A17&lt;&gt;"",1-VLOOKUP($N17,'AR sim'!$E$10:$F$38,2)*'Y106'!$E$10/'AR sim'!$D$42,"")</f>
        <v>0.99292857142857138</v>
      </c>
      <c r="E17" s="88">
        <f ca="1">VLOOKUP($A17,'cycle4 AFTA filters 2'!$A$34:$G$181,'Y106'!$I$2)</f>
        <v>0.95</v>
      </c>
      <c r="F17" s="87">
        <f>IF($L$10=1, IF($K$10="R",VLOOKUP($A17,dichroic!$F$5:$H$1232,3),VLOOKUP($A17,dichroic!$F$5:$H$1232,2)),1)</f>
        <v>1</v>
      </c>
      <c r="G17" s="83">
        <f t="shared" ca="1" si="5"/>
        <v>0.8385663736156026</v>
      </c>
      <c r="H17" s="83">
        <f t="shared" ca="1" si="6"/>
        <v>0.92306252369888464</v>
      </c>
      <c r="I17" s="83">
        <f t="shared" ca="1" si="0"/>
        <v>0.95</v>
      </c>
      <c r="J17" s="89">
        <f t="shared" ca="1" si="1"/>
        <v>0.98</v>
      </c>
      <c r="K17" s="46">
        <f ca="1">VLOOKUP($A17,'SWIR data'!$A$5:$K$795,11)/100</f>
        <v>0.7</v>
      </c>
      <c r="L17" s="90">
        <f t="shared" ca="1" si="2"/>
        <v>2.0380125087336367</v>
      </c>
      <c r="N17" s="6">
        <f t="shared" ca="1" si="3"/>
        <v>9.7560975609756018E-2</v>
      </c>
    </row>
    <row r="18" spans="1:14" ht="15">
      <c r="A18" s="79">
        <f t="shared" ca="1" si="4"/>
        <v>0.95944748631159782</v>
      </c>
      <c r="B18" s="83">
        <f ca="1">IF($A18&lt;&gt;"",IF($E$5="pAu",VLOOKUP(A18,pAg!$A$2:$C$47,3),VLOOKUP(A18,pAg!$O$3:$P1208,2)),"")</f>
        <v>0.9752859311272728</v>
      </c>
      <c r="C18" s="83">
        <f ca="1">VLOOKUP(A18,pAg!$A$7:$C$47,3)</f>
        <v>0.99</v>
      </c>
      <c r="D18" s="87">
        <f ca="1">IF($A18&lt;&gt;"",1-VLOOKUP($N18,'AR sim'!$E$10:$F$38,2)*'Y106'!$E$10/'AR sim'!$D$42,"")</f>
        <v>0.99469642857142859</v>
      </c>
      <c r="E18" s="88">
        <f ca="1">VLOOKUP($A18,'cycle4 AFTA filters 2'!$A$34:$G$181,'Y106'!$I$2)</f>
        <v>0.95</v>
      </c>
      <c r="F18" s="87">
        <f>IF($L$10=1, IF($K$10="R",VLOOKUP($A18,dichroic!$F$5:$H$1232,3),VLOOKUP($A18,dichroic!$F$5:$H$1232,2)),1)</f>
        <v>1</v>
      </c>
      <c r="G18" s="83">
        <f t="shared" ca="1" si="5"/>
        <v>0.83826899314494008</v>
      </c>
      <c r="H18" s="83">
        <f t="shared" ca="1" si="6"/>
        <v>0.92293157164273665</v>
      </c>
      <c r="I18" s="83">
        <f t="shared" ca="1" si="0"/>
        <v>0.95</v>
      </c>
      <c r="J18" s="89">
        <f t="shared" ca="1" si="1"/>
        <v>0.98</v>
      </c>
      <c r="K18" s="46">
        <f ca="1">VLOOKUP($A18,'SWIR data'!$A$5:$K$795,11)/100</f>
        <v>0.7</v>
      </c>
      <c r="L18" s="90">
        <f t="shared" ca="1" si="2"/>
        <v>2.0372897691412417</v>
      </c>
      <c r="N18" s="6">
        <f t="shared" ca="1" si="3"/>
        <v>0.12195121951219502</v>
      </c>
    </row>
    <row r="19" spans="1:14" ht="15">
      <c r="A19" s="79">
        <f t="shared" ca="1" si="4"/>
        <v>0.96590841214534595</v>
      </c>
      <c r="B19" s="83">
        <f ca="1">IF($A19&lt;&gt;"",IF($E$5="pAu",VLOOKUP(A19,pAg!$A$2:$C$47,3),VLOOKUP(A19,pAg!$O$3:$P1209,2)),"")</f>
        <v>0.97523606172727251</v>
      </c>
      <c r="C19" s="83">
        <f ca="1">VLOOKUP(A19,pAg!$A$7:$C$47,3)</f>
        <v>0.99</v>
      </c>
      <c r="D19" s="87">
        <f ca="1">IF($A19&lt;&gt;"",1-VLOOKUP($N19,'AR sim'!$E$10:$F$38,2)*'Y106'!$E$10/'AR sim'!$D$42,"")</f>
        <v>0.99646428571428569</v>
      </c>
      <c r="E19" s="88">
        <f ca="1">VLOOKUP($A19,'cycle4 AFTA filters 2'!$A$34:$G$181,'Y106'!$I$2)</f>
        <v>0.95</v>
      </c>
      <c r="F19" s="87">
        <f>IF($L$10=1, IF($K$10="R",VLOOKUP($A19,dichroic!$F$5:$H$1232,3),VLOOKUP($A19,dichroic!$F$5:$H$1232,2)),1)</f>
        <v>1</v>
      </c>
      <c r="G19" s="83">
        <f t="shared" ca="1" si="5"/>
        <v>0.83805469856999759</v>
      </c>
      <c r="H19" s="83">
        <f t="shared" ca="1" si="6"/>
        <v>0.92283718933797265</v>
      </c>
      <c r="I19" s="83">
        <f t="shared" ca="1" si="0"/>
        <v>0.95</v>
      </c>
      <c r="J19" s="89">
        <f t="shared" ca="1" si="1"/>
        <v>0.98</v>
      </c>
      <c r="K19" s="46">
        <f ca="1">VLOOKUP($A19,'SWIR data'!$A$5:$K$795,11)/100</f>
        <v>0.7</v>
      </c>
      <c r="L19" s="90">
        <f t="shared" ca="1" si="2"/>
        <v>2.0367689576252688</v>
      </c>
      <c r="N19" s="6">
        <f t="shared" ca="1" si="3"/>
        <v>0.14634146341463403</v>
      </c>
    </row>
    <row r="20" spans="1:14" ht="15">
      <c r="A20" s="79">
        <f t="shared" ca="1" si="4"/>
        <v>0.97236933797909408</v>
      </c>
      <c r="B20" s="83">
        <f ca="1">IF($A20&lt;&gt;"",IF($E$5="pAu",VLOOKUP(A20,pAg!$A$2:$C$47,3),VLOOKUP(A20,pAg!$O$3:$P1210,2)),"")</f>
        <v>0.97515553456818171</v>
      </c>
      <c r="C20" s="83">
        <f ca="1">VLOOKUP(A20,pAg!$A$7:$C$47,3)</f>
        <v>0.99</v>
      </c>
      <c r="D20" s="87">
        <f ca="1">IF($A20&lt;&gt;"",1-VLOOKUP($N20,'AR sim'!$E$10:$F$38,2)*'Y106'!$E$10/'AR sim'!$D$42,"")</f>
        <v>0.99646428571428569</v>
      </c>
      <c r="E20" s="88">
        <f ca="1">VLOOKUP($A20,'cycle4 AFTA filters 2'!$A$34:$G$181,'Y106'!$I$2)</f>
        <v>0.95</v>
      </c>
      <c r="F20" s="87">
        <f>IF($L$10=1, IF($K$10="R",VLOOKUP($A20,dichroic!$F$5:$H$1232,3),VLOOKUP($A20,dichroic!$F$5:$H$1232,2)),1)</f>
        <v>1</v>
      </c>
      <c r="G20" s="83">
        <f t="shared" ca="1" si="5"/>
        <v>0.8377087565838659</v>
      </c>
      <c r="H20" s="83">
        <f t="shared" ca="1" si="6"/>
        <v>0.92268479466765063</v>
      </c>
      <c r="I20" s="83">
        <f t="shared" ca="1" si="0"/>
        <v>0.95</v>
      </c>
      <c r="J20" s="89">
        <f t="shared" ca="1" si="1"/>
        <v>0.98</v>
      </c>
      <c r="K20" s="46">
        <f ca="1">VLOOKUP($A20,'SWIR data'!$A$5:$K$795,11)/100</f>
        <v>0.7</v>
      </c>
      <c r="L20" s="90">
        <f t="shared" ca="1" si="2"/>
        <v>2.0359281963960858</v>
      </c>
      <c r="N20" s="6">
        <f t="shared" ca="1" si="3"/>
        <v>0.17073170731707302</v>
      </c>
    </row>
    <row r="21" spans="1:14" ht="15">
      <c r="A21" s="79">
        <f t="shared" ca="1" si="4"/>
        <v>0.97883026381284222</v>
      </c>
      <c r="B21" s="83">
        <f ca="1">IF($A21&lt;&gt;"",IF($E$5="pAu",VLOOKUP(A21,pAg!$A$2:$C$47,3),VLOOKUP(A21,pAg!$O$3:$P1211,2)),"")</f>
        <v>0.97507503544999996</v>
      </c>
      <c r="C21" s="83">
        <f ca="1">VLOOKUP(A21,pAg!$A$7:$C$47,3)</f>
        <v>0.99</v>
      </c>
      <c r="D21" s="87">
        <f ca="1">IF($A21&lt;&gt;"",1-VLOOKUP($N21,'AR sim'!$E$10:$F$38,2)*'Y106'!$E$10/'AR sim'!$D$42,"")</f>
        <v>0.99668526785714284</v>
      </c>
      <c r="E21" s="88">
        <f ca="1">VLOOKUP($A21,'cycle4 AFTA filters 2'!$A$34:$G$181,'Y106'!$I$2)</f>
        <v>0.95</v>
      </c>
      <c r="F21" s="87">
        <f>IF($L$10=1, IF($K$10="R",VLOOKUP($A21,dichroic!$F$5:$H$1232,3),VLOOKUP($A21,dichroic!$F$5:$H$1232,2)),1)</f>
        <v>1</v>
      </c>
      <c r="G21" s="83">
        <f t="shared" ca="1" si="5"/>
        <v>0.83736304925188165</v>
      </c>
      <c r="H21" s="83">
        <f t="shared" ca="1" si="6"/>
        <v>0.92253246564118663</v>
      </c>
      <c r="I21" s="83">
        <f t="shared" ca="1" si="0"/>
        <v>0.95</v>
      </c>
      <c r="J21" s="89">
        <f t="shared" ca="1" si="1"/>
        <v>0.98</v>
      </c>
      <c r="K21" s="46">
        <f ca="1">VLOOKUP($A21,'SWIR data'!$A$5:$K$795,11)/100</f>
        <v>0.7</v>
      </c>
      <c r="L21" s="90">
        <f t="shared" ca="1" si="2"/>
        <v>2.0350880054593721</v>
      </c>
      <c r="N21" s="6">
        <f t="shared" ca="1" si="3"/>
        <v>0.19512195121951204</v>
      </c>
    </row>
    <row r="22" spans="1:14" ht="15">
      <c r="A22" s="79">
        <f t="shared" ca="1" si="4"/>
        <v>0.98529118964659035</v>
      </c>
      <c r="B22" s="83">
        <f ca="1">IF($A22&lt;&gt;"",IF($E$5="pAu",VLOOKUP(A22,pAg!$A$2:$C$47,3),VLOOKUP(A22,pAg!$O$3:$P1212,2)),"")</f>
        <v>0.97499124469090914</v>
      </c>
      <c r="C22" s="83">
        <f ca="1">VLOOKUP(A22,pAg!$A$7:$C$47,3)</f>
        <v>0.99</v>
      </c>
      <c r="D22" s="87">
        <f ca="1">IF($A22&lt;&gt;"",1-VLOOKUP($N22,'AR sim'!$E$10:$F$38,2)*'Y106'!$E$10/'AR sim'!$D$42,"")</f>
        <v>0.99690624999999999</v>
      </c>
      <c r="E22" s="88">
        <f ca="1">VLOOKUP($A22,'cycle4 AFTA filters 2'!$A$34:$G$181,'Y106'!$I$2)</f>
        <v>0.95</v>
      </c>
      <c r="F22" s="87">
        <f>IF($L$10=1, IF($K$10="R",VLOOKUP($A22,dichroic!$F$5:$H$1232,3),VLOOKUP($A22,dichroic!$F$5:$H$1232,2)),1)</f>
        <v>1</v>
      </c>
      <c r="G22" s="83">
        <f t="shared" ca="1" si="5"/>
        <v>0.83700332704904445</v>
      </c>
      <c r="H22" s="83">
        <f t="shared" ca="1" si="6"/>
        <v>0.92237392117745032</v>
      </c>
      <c r="I22" s="83">
        <f t="shared" ca="1" si="0"/>
        <v>0.95</v>
      </c>
      <c r="J22" s="89">
        <f t="shared" ca="1" si="1"/>
        <v>0.98</v>
      </c>
      <c r="K22" s="46">
        <f ca="1">VLOOKUP($A22,'SWIR data'!$A$5:$K$795,11)/100</f>
        <v>0.7</v>
      </c>
      <c r="L22" s="90">
        <f t="shared" ca="1" si="2"/>
        <v>2.0342137534357776</v>
      </c>
      <c r="N22" s="6">
        <f t="shared" ca="1" si="3"/>
        <v>0.21951219512195103</v>
      </c>
    </row>
    <row r="23" spans="1:14" ht="15">
      <c r="A23" s="79">
        <f t="shared" ca="1" si="4"/>
        <v>0.99175211548033848</v>
      </c>
      <c r="B23" s="83">
        <f ca="1">IF($A23&lt;&gt;"",IF($E$5="pAu",VLOOKUP(A23,pAg!$A$2:$C$47,3),VLOOKUP(A23,pAg!$O$3:$P1213,2)),"")</f>
        <v>0.97491934599090924</v>
      </c>
      <c r="C23" s="83">
        <f ca="1">VLOOKUP(A23,pAg!$A$7:$C$47,3)</f>
        <v>0.99</v>
      </c>
      <c r="D23" s="87">
        <f ca="1">IF($A23&lt;&gt;"",1-VLOOKUP($N23,'AR sim'!$E$10:$F$38,2)*'Y106'!$E$10/'AR sim'!$D$42,"")</f>
        <v>0.99690624999999999</v>
      </c>
      <c r="E23" s="88">
        <f ca="1">VLOOKUP($A23,'cycle4 AFTA filters 2'!$A$34:$G$181,'Y106'!$I$2)</f>
        <v>0.95</v>
      </c>
      <c r="F23" s="87">
        <f>IF($L$10=1, IF($K$10="R",VLOOKUP($A23,dichroic!$F$5:$H$1232,3),VLOOKUP($A23,dichroic!$F$5:$H$1232,2)),1)</f>
        <v>1</v>
      </c>
      <c r="G23" s="83">
        <f t="shared" ca="1" si="5"/>
        <v>0.83669475722097753</v>
      </c>
      <c r="H23" s="83">
        <f t="shared" ca="1" si="6"/>
        <v>0.92223788910334681</v>
      </c>
      <c r="I23" s="83">
        <f t="shared" ca="1" si="0"/>
        <v>0.95</v>
      </c>
      <c r="J23" s="89">
        <f t="shared" ca="1" si="1"/>
        <v>0.98</v>
      </c>
      <c r="K23" s="46">
        <f ca="1">VLOOKUP($A23,'SWIR data'!$A$5:$K$795,11)/100</f>
        <v>0.7</v>
      </c>
      <c r="L23" s="90">
        <f t="shared" ca="1" si="2"/>
        <v>2.0334638197522854</v>
      </c>
      <c r="N23" s="6">
        <f t="shared" ca="1" si="3"/>
        <v>0.24390243902439004</v>
      </c>
    </row>
    <row r="24" spans="1:14" ht="15">
      <c r="A24" s="79">
        <f t="shared" ca="1" si="4"/>
        <v>0.99821304131408661</v>
      </c>
      <c r="B24" s="83">
        <f ca="1">IF($A24&lt;&gt;"",IF($E$5="pAu",VLOOKUP(A24,pAg!$A$2:$C$47,3),VLOOKUP(A24,pAg!$O$3:$P1214,2)),"")</f>
        <v>0.97486597871363645</v>
      </c>
      <c r="C24" s="83">
        <f ca="1">VLOOKUP(A24,pAg!$A$7:$C$47,3)</f>
        <v>0.99</v>
      </c>
      <c r="D24" s="87">
        <f ca="1">IF($A24&lt;&gt;"",1-VLOOKUP($N24,'AR sim'!$E$10:$F$38,2)*'Y106'!$E$10/'AR sim'!$D$42,"")</f>
        <v>0.99712723214285715</v>
      </c>
      <c r="E24" s="88">
        <f ca="1">VLOOKUP($A24,'cycle4 AFTA filters 2'!$A$34:$G$181,'Y106'!$I$2)</f>
        <v>0.95</v>
      </c>
      <c r="F24" s="87">
        <f>IF($L$10=1, IF($K$10="R",VLOOKUP($A24,dichroic!$F$5:$H$1232,3),VLOOKUP($A24,dichroic!$F$5:$H$1232,2)),1)</f>
        <v>1</v>
      </c>
      <c r="G24" s="83">
        <f t="shared" ca="1" si="5"/>
        <v>0.83646577811095846</v>
      </c>
      <c r="H24" s="83">
        <f t="shared" ca="1" si="6"/>
        <v>0.92213692489895682</v>
      </c>
      <c r="I24" s="83">
        <f t="shared" ca="1" si="0"/>
        <v>0.95</v>
      </c>
      <c r="J24" s="89">
        <f t="shared" ca="1" si="1"/>
        <v>0.98</v>
      </c>
      <c r="K24" s="46">
        <f ca="1">VLOOKUP($A24,'SWIR data'!$A$5:$K$795,11)/100</f>
        <v>0.7</v>
      </c>
      <c r="L24" s="90">
        <f t="shared" ca="1" si="2"/>
        <v>2.0329073196288125</v>
      </c>
      <c r="N24" s="6">
        <f t="shared" ca="1" si="3"/>
        <v>0.26829268292682906</v>
      </c>
    </row>
    <row r="25" spans="1:14" ht="15">
      <c r="A25" s="79">
        <f t="shared" ca="1" si="4"/>
        <v>1.0046739671478349</v>
      </c>
      <c r="B25" s="83">
        <f ca="1">IF($A25&lt;&gt;"",IF($E$5="pAu",VLOOKUP(A25,pAg!$A$2:$C$47,3),VLOOKUP(A25,pAg!$O$3:$P1215,2)),"")</f>
        <v>0.97479892385454547</v>
      </c>
      <c r="C25" s="83">
        <f ca="1">VLOOKUP(A25,pAg!$A$7:$C$47,3)</f>
        <v>0.99</v>
      </c>
      <c r="D25" s="87">
        <f ca="1">IF($A25&lt;&gt;"",1-VLOOKUP($N25,'AR sim'!$E$10:$F$38,2)*'Y106'!$E$10/'AR sim'!$D$42,"")</f>
        <v>0.9973482142857143</v>
      </c>
      <c r="E25" s="88">
        <f ca="1">VLOOKUP($A25,'cycle4 AFTA filters 2'!$A$34:$G$181,'Y106'!$I$2)</f>
        <v>0.95</v>
      </c>
      <c r="F25" s="87">
        <f>IF($L$10=1, IF($K$10="R",VLOOKUP($A25,dichroic!$F$5:$H$1232,3),VLOOKUP($A25,dichroic!$F$5:$H$1232,2)),1)</f>
        <v>1</v>
      </c>
      <c r="G25" s="83">
        <f t="shared" ca="1" si="5"/>
        <v>0.83617814175573946</v>
      </c>
      <c r="H25" s="83">
        <f t="shared" ca="1" si="6"/>
        <v>0.92201007333918283</v>
      </c>
      <c r="I25" s="83">
        <f t="shared" ca="1" si="0"/>
        <v>0.95</v>
      </c>
      <c r="J25" s="89">
        <f t="shared" ca="1" si="1"/>
        <v>0.98</v>
      </c>
      <c r="K25" s="46">
        <f ca="1">VLOOKUP($A25,'SWIR data'!$A$5:$K$795,11)/100</f>
        <v>0.70083195556192535</v>
      </c>
      <c r="L25" s="90">
        <f t="shared" ca="1" si="2"/>
        <v>2.034623557345157</v>
      </c>
      <c r="N25" s="6">
        <f t="shared" ca="1" si="3"/>
        <v>0.29268292682926844</v>
      </c>
    </row>
    <row r="26" spans="1:14" ht="15">
      <c r="A26" s="79">
        <f t="shared" ca="1" si="4"/>
        <v>1.0111348929815831</v>
      </c>
      <c r="B26" s="83">
        <f ca="1">IF($A26&lt;&gt;"",IF($E$5="pAu",VLOOKUP(A26,pAg!$A$2:$C$47,3),VLOOKUP(A26,pAg!$O$3:$P1216,2)),"")</f>
        <v>0.9747844954499999</v>
      </c>
      <c r="C26" s="83">
        <f ca="1">VLOOKUP(A26,pAg!$A$7:$C$47,3)</f>
        <v>0.99</v>
      </c>
      <c r="D26" s="87">
        <f ca="1">IF($A26&lt;&gt;"",1-VLOOKUP($N26,'AR sim'!$E$10:$F$38,2)*'Y106'!$E$10/'AR sim'!$D$42,"")</f>
        <v>0.9973482142857143</v>
      </c>
      <c r="E26" s="88">
        <f ca="1">VLOOKUP($A26,'cycle4 AFTA filters 2'!$A$34:$G$181,'Y106'!$I$2)</f>
        <v>0.95</v>
      </c>
      <c r="F26" s="87">
        <f>IF($L$10=1, IF($K$10="R",VLOOKUP($A26,dichroic!$F$5:$H$1232,3),VLOOKUP($A26,dichroic!$F$5:$H$1232,2)),1)</f>
        <v>1</v>
      </c>
      <c r="G26" s="83">
        <f t="shared" ca="1" si="5"/>
        <v>0.83611626048432186</v>
      </c>
      <c r="H26" s="83">
        <f t="shared" ca="1" si="6"/>
        <v>0.9219827794315778</v>
      </c>
      <c r="I26" s="83">
        <f t="shared" ca="1" si="0"/>
        <v>0.95</v>
      </c>
      <c r="J26" s="89">
        <f t="shared" ca="1" si="1"/>
        <v>0.98</v>
      </c>
      <c r="K26" s="46">
        <f ca="1">VLOOKUP($A26,'SWIR data'!$A$5:$K$795,11)/100</f>
        <v>0.70270741728834818</v>
      </c>
      <c r="L26" s="90">
        <f t="shared" ca="1" si="2"/>
        <v>2.0399173377638919</v>
      </c>
      <c r="N26" s="6">
        <f t="shared" ca="1" si="3"/>
        <v>0.31707317073170788</v>
      </c>
    </row>
    <row r="27" spans="1:14" ht="15">
      <c r="A27" s="79">
        <f t="shared" ca="1" si="4"/>
        <v>1.0175958188153313</v>
      </c>
      <c r="B27" s="83">
        <f ca="1">IF($A27&lt;&gt;"",IF($E$5="pAu",VLOOKUP(A27,pAg!$A$2:$C$47,3),VLOOKUP(A27,pAg!$O$3:$P1217,2)),"")</f>
        <v>0.97479458113181805</v>
      </c>
      <c r="C27" s="83">
        <f ca="1">VLOOKUP(A27,pAg!$A$7:$C$47,3)</f>
        <v>0.99</v>
      </c>
      <c r="D27" s="87">
        <f ca="1">IF($A27&lt;&gt;"",1-VLOOKUP($N27,'AR sim'!$E$10:$F$38,2)*'Y106'!$E$10/'AR sim'!$D$42,"")</f>
        <v>0.99690624999999999</v>
      </c>
      <c r="E27" s="88">
        <f ca="1">VLOOKUP($A27,'cycle4 AFTA filters 2'!$A$34:$G$181,'Y106'!$I$2)</f>
        <v>0.95</v>
      </c>
      <c r="F27" s="87">
        <f>IF($L$10=1, IF($K$10="R",VLOOKUP($A27,dichroic!$F$5:$H$1232,3),VLOOKUP($A27,dichroic!$F$5:$H$1232,2)),1)</f>
        <v>1</v>
      </c>
      <c r="G27" s="83">
        <f t="shared" ca="1" si="5"/>
        <v>0.83615951608137251</v>
      </c>
      <c r="H27" s="83">
        <f t="shared" ca="1" si="6"/>
        <v>0.9220018582599836</v>
      </c>
      <c r="I27" s="83">
        <f t="shared" ca="1" si="0"/>
        <v>0.95</v>
      </c>
      <c r="J27" s="89">
        <f t="shared" ca="1" si="1"/>
        <v>0.98</v>
      </c>
      <c r="K27" s="46">
        <f ca="1">VLOOKUP($A27,'SWIR data'!$A$5:$K$795,11)/100</f>
        <v>0.70463510190209444</v>
      </c>
      <c r="L27" s="90">
        <f t="shared" ca="1" si="2"/>
        <v>2.0456191126567806</v>
      </c>
      <c r="N27" s="6">
        <f t="shared" ca="1" si="3"/>
        <v>0.34146341463414731</v>
      </c>
    </row>
    <row r="28" spans="1:14" ht="15">
      <c r="A28" s="79">
        <f t="shared" ca="1" si="4"/>
        <v>1.0240567446490796</v>
      </c>
      <c r="B28" s="83">
        <f ca="1">IF($A28&lt;&gt;"",IF($E$5="pAu",VLOOKUP(A28,pAg!$A$2:$C$47,3),VLOOKUP(A28,pAg!$O$3:$P1218,2)),"")</f>
        <v>0.97479521612272735</v>
      </c>
      <c r="C28" s="83">
        <f ca="1">VLOOKUP(A28,pAg!$A$7:$C$47,3)</f>
        <v>0.99</v>
      </c>
      <c r="D28" s="87">
        <f ca="1">IF($A28&lt;&gt;"",1-VLOOKUP($N28,'AR sim'!$E$10:$F$38,2)*'Y106'!$E$10/'AR sim'!$D$42,"")</f>
        <v>0.99646428571428569</v>
      </c>
      <c r="E28" s="88">
        <f ca="1">VLOOKUP($A28,'cycle4 AFTA filters 2'!$A$34:$G$181,'Y106'!$I$2)</f>
        <v>0.95</v>
      </c>
      <c r="F28" s="87">
        <f>IF($L$10=1, IF($K$10="R",VLOOKUP($A28,dichroic!$F$5:$H$1232,3),VLOOKUP($A28,dichroic!$F$5:$H$1232,2)),1)</f>
        <v>1</v>
      </c>
      <c r="G28" s="83">
        <f t="shared" ca="1" si="5"/>
        <v>0.83616223949814905</v>
      </c>
      <c r="H28" s="83">
        <f t="shared" ca="1" si="6"/>
        <v>0.92200305946278127</v>
      </c>
      <c r="I28" s="83">
        <f t="shared" ca="1" si="0"/>
        <v>0.95</v>
      </c>
      <c r="J28" s="89">
        <f t="shared" ca="1" si="1"/>
        <v>0.98</v>
      </c>
      <c r="K28" s="46">
        <f ca="1">VLOOKUP($A28,'SWIR data'!$A$5:$K$795,11)/100</f>
        <v>0.70663185632786207</v>
      </c>
      <c r="L28" s="90">
        <f t="shared" ca="1" si="2"/>
        <v>2.0514225520200577</v>
      </c>
      <c r="N28" s="6">
        <f t="shared" ca="1" si="3"/>
        <v>0.36585365853658675</v>
      </c>
    </row>
    <row r="29" spans="1:14" ht="15">
      <c r="A29" s="79">
        <f t="shared" ca="1" si="4"/>
        <v>1.0305176704828278</v>
      </c>
      <c r="B29" s="83">
        <f ca="1">IF($A29&lt;&gt;"",IF($E$5="pAu",VLOOKUP(A29,pAg!$A$2:$C$47,3),VLOOKUP(A29,pAg!$O$3:$P1219,2)),"")</f>
        <v>0.97477764080454532</v>
      </c>
      <c r="C29" s="83">
        <f ca="1">VLOOKUP(A29,pAg!$A$7:$C$47,3)</f>
        <v>0.99</v>
      </c>
      <c r="D29" s="87">
        <f ca="1">IF($A29&lt;&gt;"",1-VLOOKUP($N29,'AR sim'!$E$10:$F$38,2)*'Y106'!$E$10/'AR sim'!$D$42,"")</f>
        <v>0.99646428571428569</v>
      </c>
      <c r="E29" s="88">
        <f ca="1">VLOOKUP($A29,'cycle4 AFTA filters 2'!$A$34:$G$181,'Y106'!$I$2)</f>
        <v>0.95</v>
      </c>
      <c r="F29" s="87">
        <f>IF($L$10=1, IF($K$10="R",VLOOKUP($A29,dichroic!$F$5:$H$1232,3),VLOOKUP($A29,dichroic!$F$5:$H$1232,2)),1)</f>
        <v>1</v>
      </c>
      <c r="G29" s="83">
        <f t="shared" ca="1" si="5"/>
        <v>0.83608686321781089</v>
      </c>
      <c r="H29" s="83">
        <f t="shared" ca="1" si="6"/>
        <v>0.92196981278535561</v>
      </c>
      <c r="I29" s="83">
        <f t="shared" ca="1" si="0"/>
        <v>0.95</v>
      </c>
      <c r="J29" s="89">
        <f t="shared" ca="1" si="1"/>
        <v>0.98</v>
      </c>
      <c r="K29" s="46">
        <f ca="1">VLOOKUP($A29,'SWIR data'!$A$5:$K$795,11)/100</f>
        <v>0.70867272312990226</v>
      </c>
      <c r="L29" s="90">
        <f t="shared" ca="1" si="2"/>
        <v>2.0571619306549036</v>
      </c>
      <c r="N29" s="6">
        <f t="shared" ca="1" si="3"/>
        <v>0.39024390243902618</v>
      </c>
    </row>
    <row r="30" spans="1:14" ht="15">
      <c r="A30" s="79">
        <f t="shared" ca="1" si="4"/>
        <v>1.0369785963165761</v>
      </c>
      <c r="B30" s="83">
        <f ca="1">IF($A30&lt;&gt;"",IF($E$5="pAu",VLOOKUP(A30,pAg!$A$2:$C$47,3),VLOOKUP(A30,pAg!$O$3:$P1220,2)),"")</f>
        <v>0.97473047599545448</v>
      </c>
      <c r="C30" s="83">
        <f ca="1">VLOOKUP(A30,pAg!$A$7:$C$47,3)</f>
        <v>0.99</v>
      </c>
      <c r="D30" s="87">
        <f ca="1">IF($A30&lt;&gt;"",1-VLOOKUP($N30,'AR sim'!$E$10:$F$38,2)*'Y106'!$E$10/'AR sim'!$D$42,"")</f>
        <v>0.99602232142857139</v>
      </c>
      <c r="E30" s="88">
        <f ca="1">VLOOKUP($A30,'cycle4 AFTA filters 2'!$A$34:$G$181,'Y106'!$I$2)</f>
        <v>0.95</v>
      </c>
      <c r="F30" s="87">
        <f>IF($L$10=1, IF($K$10="R",VLOOKUP($A30,dichroic!$F$5:$H$1232,3),VLOOKUP($A30,dichroic!$F$5:$H$1232,2)),1)</f>
        <v>1</v>
      </c>
      <c r="G30" s="83">
        <f t="shared" ca="1" si="5"/>
        <v>0.83588461164889294</v>
      </c>
      <c r="H30" s="83">
        <f t="shared" ca="1" si="6"/>
        <v>0.92188059556004487</v>
      </c>
      <c r="I30" s="83">
        <f t="shared" ca="1" si="0"/>
        <v>0.95</v>
      </c>
      <c r="J30" s="89">
        <f t="shared" ca="1" si="1"/>
        <v>0.98</v>
      </c>
      <c r="K30" s="46">
        <f ca="1">VLOOKUP($A30,'SWIR data'!$A$5:$K$795,11)/100</f>
        <v>0.71076617792911378</v>
      </c>
      <c r="L30" s="90">
        <f t="shared" ca="1" si="2"/>
        <v>2.0627397874570312</v>
      </c>
      <c r="N30" s="6">
        <f t="shared" ca="1" si="3"/>
        <v>0.41463414634146556</v>
      </c>
    </row>
    <row r="31" spans="1:14" ht="15">
      <c r="A31" s="79">
        <f t="shared" ca="1" si="4"/>
        <v>1.0434395221503243</v>
      </c>
      <c r="B31" s="83">
        <f ca="1">IF($A31&lt;&gt;"",IF($E$5="pAu",VLOOKUP(A31,pAg!$A$2:$C$47,3),VLOOKUP(A31,pAg!$O$3:$P1221,2)),"")</f>
        <v>0.97469708922272713</v>
      </c>
      <c r="C31" s="83">
        <f ca="1">VLOOKUP(A31,pAg!$A$7:$C$47,3)</f>
        <v>0.99</v>
      </c>
      <c r="D31" s="87">
        <f ca="1">IF($A31&lt;&gt;"",1-VLOOKUP($N31,'AR sim'!$E$10:$F$38,2)*'Y106'!$E$10/'AR sim'!$D$42,"")</f>
        <v>0.9955803571428572</v>
      </c>
      <c r="E31" s="88">
        <f ca="1">VLOOKUP($A31,'cycle4 AFTA filters 2'!$A$34:$G$181,'Y106'!$I$2)</f>
        <v>0.95</v>
      </c>
      <c r="F31" s="87">
        <f>IF($L$10=1, IF($K$10="R",VLOOKUP($A31,dichroic!$F$5:$H$1232,3),VLOOKUP($A31,dichroic!$F$5:$H$1232,2)),1)</f>
        <v>1</v>
      </c>
      <c r="G31" s="83">
        <f t="shared" ca="1" si="5"/>
        <v>0.83574146655126835</v>
      </c>
      <c r="H31" s="83">
        <f t="shared" ca="1" si="6"/>
        <v>0.92181744355738504</v>
      </c>
      <c r="I31" s="83">
        <f t="shared" ca="1" si="0"/>
        <v>0.95</v>
      </c>
      <c r="J31" s="89">
        <f t="shared" ca="1" si="1"/>
        <v>0.98</v>
      </c>
      <c r="K31" s="46">
        <f ca="1">VLOOKUP($A31,'SWIR data'!$A$5:$K$795,11)/100</f>
        <v>0.712903953738797</v>
      </c>
      <c r="L31" s="90">
        <f t="shared" ca="1" si="2"/>
        <v>2.0685895963249035</v>
      </c>
      <c r="N31" s="6">
        <f t="shared" ca="1" si="3"/>
        <v>0.43902439024390499</v>
      </c>
    </row>
    <row r="32" spans="1:14" ht="15">
      <c r="A32" s="79">
        <f t="shared" ca="1" si="4"/>
        <v>1.0499004479840726</v>
      </c>
      <c r="B32" s="83">
        <f ca="1">IF($A32&lt;&gt;"",IF($E$5="pAu",VLOOKUP(A32,pAg!$A$2:$C$47,3),VLOOKUP(A32,pAg!$O$3:$P1222,2)),"")</f>
        <v>0.97470089826363648</v>
      </c>
      <c r="C32" s="83">
        <f ca="1">VLOOKUP(A32,pAg!$A$7:$C$47,3)</f>
        <v>0.99</v>
      </c>
      <c r="D32" s="87">
        <f ca="1">IF($A32&lt;&gt;"",1-VLOOKUP($N32,'AR sim'!$E$10:$F$38,2)*'Y106'!$E$10/'AR sim'!$D$42,"")</f>
        <v>0.9955803571428572</v>
      </c>
      <c r="E32" s="88">
        <f ca="1">VLOOKUP($A32,'cycle4 AFTA filters 2'!$A$34:$G$181,'Y106'!$I$2)</f>
        <v>0.95</v>
      </c>
      <c r="F32" s="87">
        <f>IF($L$10=1, IF($K$10="R",VLOOKUP($A32,dichroic!$F$5:$H$1232,3),VLOOKUP($A32,dichroic!$F$5:$H$1232,2)),1)</f>
        <v>1</v>
      </c>
      <c r="G32" s="83">
        <f t="shared" ca="1" si="5"/>
        <v>0.83575779674426787</v>
      </c>
      <c r="H32" s="83">
        <f t="shared" ca="1" si="6"/>
        <v>0.92182464835414324</v>
      </c>
      <c r="I32" s="83">
        <f t="shared" ca="1" si="0"/>
        <v>0.95</v>
      </c>
      <c r="J32" s="89">
        <f t="shared" ca="1" si="1"/>
        <v>0.98</v>
      </c>
      <c r="K32" s="46">
        <f ca="1">VLOOKUP($A32,'SWIR data'!$A$5:$K$795,11)/100</f>
        <v>0.71509453921948807</v>
      </c>
      <c r="L32" s="90">
        <f t="shared" ca="1" si="2"/>
        <v>2.0749864275657881</v>
      </c>
      <c r="N32" s="6">
        <f t="shared" ca="1" si="3"/>
        <v>0.46341463414634443</v>
      </c>
    </row>
    <row r="33" spans="1:14" ht="15">
      <c r="A33" s="79">
        <f t="shared" ca="1" si="4"/>
        <v>1.0563613738178208</v>
      </c>
      <c r="B33" s="83">
        <f ca="1">IF($A33&lt;&gt;"",IF($E$5="pAu",VLOOKUP(A33,pAg!$A$2:$C$47,3),VLOOKUP(A33,pAg!$O$3:$P1223,2)),"")</f>
        <v>0.97469560667272725</v>
      </c>
      <c r="C33" s="83">
        <f ca="1">VLOOKUP(A33,pAg!$A$7:$C$47,3)</f>
        <v>0.99</v>
      </c>
      <c r="D33" s="87">
        <f ca="1">IF($A33&lt;&gt;"",1-VLOOKUP($N33,'AR sim'!$E$10:$F$38,2)*'Y106'!$E$10/'AR sim'!$D$42,"")</f>
        <v>0.99513839285714289</v>
      </c>
      <c r="E33" s="88">
        <f ca="1">VLOOKUP($A33,'cycle4 AFTA filters 2'!$A$34:$G$181,'Y106'!$I$2)</f>
        <v>0.95</v>
      </c>
      <c r="F33" s="87">
        <f>IF($L$10=1, IF($K$10="R",VLOOKUP($A33,dichroic!$F$5:$H$1232,3),VLOOKUP($A33,dichroic!$F$5:$H$1232,2)),1)</f>
        <v>1</v>
      </c>
      <c r="G33" s="83">
        <f t="shared" ca="1" si="5"/>
        <v>0.83573511060358163</v>
      </c>
      <c r="H33" s="83">
        <f t="shared" ca="1" si="6"/>
        <v>0.92181463932327667</v>
      </c>
      <c r="I33" s="83">
        <f t="shared" ca="1" si="0"/>
        <v>0.95</v>
      </c>
      <c r="J33" s="89">
        <f t="shared" ca="1" si="1"/>
        <v>0.98</v>
      </c>
      <c r="K33" s="46">
        <f ca="1">VLOOKUP($A33,'SWIR data'!$A$5:$K$795,11)/100</f>
        <v>0.71732125696177529</v>
      </c>
      <c r="L33" s="90">
        <f t="shared" ca="1" si="2"/>
        <v>2.0813911842206756</v>
      </c>
      <c r="N33" s="6">
        <f t="shared" ca="1" si="3"/>
        <v>0.48780487804878386</v>
      </c>
    </row>
    <row r="34" spans="1:14" ht="15">
      <c r="A34" s="79">
        <f t="shared" ca="1" si="4"/>
        <v>1.062822299651569</v>
      </c>
      <c r="B34" s="83">
        <f ca="1">IF($A34&lt;&gt;"",IF($E$5="pAu",VLOOKUP(A34,pAg!$A$2:$C$47,3),VLOOKUP(A34,pAg!$O$3:$P1224,2)),"")</f>
        <v>0.97467746963181823</v>
      </c>
      <c r="C34" s="83">
        <f ca="1">VLOOKUP(A34,pAg!$A$7:$C$47,3)</f>
        <v>0.99</v>
      </c>
      <c r="D34" s="87">
        <f ca="1">IF($A34&lt;&gt;"",1-VLOOKUP($N34,'AR sim'!$E$10:$F$38,2)*'Y106'!$E$10/'AR sim'!$D$42,"")</f>
        <v>0.99469642857142859</v>
      </c>
      <c r="E34" s="88">
        <f ca="1">VLOOKUP($A34,'cycle4 AFTA filters 2'!$A$34:$G$181,'Y106'!$I$2)</f>
        <v>0.95</v>
      </c>
      <c r="F34" s="87">
        <f>IF($L$10=1, IF($K$10="R",VLOOKUP($A34,dichroic!$F$5:$H$1232,3),VLOOKUP($A34,dichroic!$F$5:$H$1232,2)),1)</f>
        <v>1</v>
      </c>
      <c r="G34" s="83">
        <f t="shared" ca="1" si="5"/>
        <v>0.83565735710962652</v>
      </c>
      <c r="H34" s="83">
        <f t="shared" ca="1" si="6"/>
        <v>0.92178033356841993</v>
      </c>
      <c r="I34" s="83">
        <f t="shared" ca="1" si="0"/>
        <v>0.95</v>
      </c>
      <c r="J34" s="89">
        <f t="shared" ca="1" si="1"/>
        <v>0.98</v>
      </c>
      <c r="K34" s="46">
        <f ca="1">VLOOKUP($A34,'SWIR data'!$A$5:$K$795,11)/100</f>
        <v>0.71959267731399179</v>
      </c>
      <c r="L34" s="90">
        <f t="shared" ca="1" si="2"/>
        <v>2.0877877173625001</v>
      </c>
      <c r="N34" s="6">
        <f t="shared" ca="1" si="3"/>
        <v>0.5121951219512233</v>
      </c>
    </row>
    <row r="35" spans="1:14" ht="15">
      <c r="A35" s="79">
        <f t="shared" ca="1" si="4"/>
        <v>1.0692832254853173</v>
      </c>
      <c r="B35" s="83">
        <f ca="1">IF($A35&lt;&gt;"",IF($E$5="pAu",VLOOKUP(A35,pAg!$A$2:$C$47,3),VLOOKUP(A35,pAg!$O$3:$P1225,2)),"")</f>
        <v>0.974668281259091</v>
      </c>
      <c r="C35" s="83">
        <f ca="1">VLOOKUP(A35,pAg!$A$7:$C$47,3)</f>
        <v>0.99</v>
      </c>
      <c r="D35" s="87">
        <f ca="1">IF($A35&lt;&gt;"",1-VLOOKUP($N35,'AR sim'!$E$10:$F$38,2)*'Y106'!$E$10/'AR sim'!$D$42,"")</f>
        <v>0.99513839285714289</v>
      </c>
      <c r="E35" s="88">
        <f ca="1">VLOOKUP($A35,'cycle4 AFTA filters 2'!$A$34:$G$181,'Y106'!$I$2)</f>
        <v>0.95</v>
      </c>
      <c r="F35" s="87">
        <f>IF($L$10=1, IF($K$10="R",VLOOKUP($A35,dichroic!$F$5:$H$1232,3),VLOOKUP($A35,dichroic!$F$5:$H$1232,2)),1)</f>
        <v>1</v>
      </c>
      <c r="G35" s="83">
        <f t="shared" ca="1" si="5"/>
        <v>0.83561796876455152</v>
      </c>
      <c r="H35" s="83">
        <f t="shared" ca="1" si="6"/>
        <v>0.92176295423706311</v>
      </c>
      <c r="I35" s="83">
        <f t="shared" ca="1" si="0"/>
        <v>0.95</v>
      </c>
      <c r="J35" s="89">
        <f t="shared" ca="1" si="1"/>
        <v>0.98</v>
      </c>
      <c r="K35" s="46">
        <f ca="1">VLOOKUP($A35,'SWIR data'!$A$5:$K$795,11)/100</f>
        <v>0.7218919010260052</v>
      </c>
      <c r="L35" s="90">
        <f t="shared" ca="1" si="2"/>
        <v>2.0943598407102453</v>
      </c>
      <c r="N35" s="6">
        <f t="shared" ca="1" si="3"/>
        <v>0.53658536585366268</v>
      </c>
    </row>
    <row r="36" spans="1:14" ht="15">
      <c r="A36" s="79">
        <f t="shared" ca="1" si="4"/>
        <v>1.0757441513190655</v>
      </c>
      <c r="B36" s="83">
        <f ca="1">IF($A36&lt;&gt;"",IF($E$5="pAu",VLOOKUP(A36,pAg!$A$2:$C$47,3),VLOOKUP(A36,pAg!$O$3:$P1226,2)),"")</f>
        <v>0.97465053226818188</v>
      </c>
      <c r="C36" s="83">
        <f ca="1">VLOOKUP(A36,pAg!$A$7:$C$47,3)</f>
        <v>0.99</v>
      </c>
      <c r="D36" s="87">
        <f ca="1">IF($A36&lt;&gt;"",1-VLOOKUP($N36,'AR sim'!$E$10:$F$38,2)*'Y106'!$E$10/'AR sim'!$D$42,"")</f>
        <v>0.99513839285714289</v>
      </c>
      <c r="E36" s="88">
        <f ca="1">VLOOKUP($A36,'cycle4 AFTA filters 2'!$A$34:$G$181,'Y106'!$I$2)</f>
        <v>0.95</v>
      </c>
      <c r="F36" s="87">
        <f>IF($L$10=1, IF($K$10="R",VLOOKUP($A36,dichroic!$F$5:$H$1232,3),VLOOKUP($A36,dichroic!$F$5:$H$1232,2)),1)</f>
        <v>1</v>
      </c>
      <c r="G36" s="83">
        <f t="shared" ca="1" si="5"/>
        <v>0.83554188731274481</v>
      </c>
      <c r="H36" s="83">
        <f t="shared" ca="1" si="6"/>
        <v>0.92172938340348576</v>
      </c>
      <c r="I36" s="83">
        <f t="shared" ca="1" si="0"/>
        <v>0.95</v>
      </c>
      <c r="J36" s="89">
        <f t="shared" ca="1" si="1"/>
        <v>0.98</v>
      </c>
      <c r="K36" s="46">
        <f ca="1">VLOOKUP($A36,'SWIR data'!$A$5:$K$795,11)/100</f>
        <v>0.72422749171720968</v>
      </c>
      <c r="L36" s="90">
        <f t="shared" ca="1" si="2"/>
        <v>2.1009445747685245</v>
      </c>
      <c r="N36" s="6">
        <f t="shared" ca="1" si="3"/>
        <v>0.56097560975610217</v>
      </c>
    </row>
    <row r="37" spans="1:14" ht="15">
      <c r="A37" s="79">
        <f t="shared" ca="1" si="4"/>
        <v>1.0822050771528138</v>
      </c>
      <c r="B37" s="83">
        <f ca="1">IF($A37&lt;&gt;"",IF($E$5="pAu",VLOOKUP(A37,pAg!$A$2:$C$47,3),VLOOKUP(A37,pAg!$O$3:$P1227,2)),"")</f>
        <v>0.97473981633181817</v>
      </c>
      <c r="C37" s="83">
        <f ca="1">VLOOKUP(A37,pAg!$A$7:$C$47,3)</f>
        <v>0.99</v>
      </c>
      <c r="D37" s="87">
        <f ca="1">IF($A37&lt;&gt;"",1-VLOOKUP($N37,'AR sim'!$E$10:$F$38,2)*'Y106'!$E$10/'AR sim'!$D$42,"")</f>
        <v>0.9955803571428572</v>
      </c>
      <c r="E37" s="88">
        <f ca="1">VLOOKUP($A37,'cycle4 AFTA filters 2'!$A$34:$G$181,'Y106'!$I$2)</f>
        <v>0.95</v>
      </c>
      <c r="F37" s="87">
        <f>IF($L$10=1, IF($K$10="R",VLOOKUP($A37,dichroic!$F$5:$H$1232,3),VLOOKUP($A37,dichroic!$F$5:$H$1232,2)),1)</f>
        <v>1</v>
      </c>
      <c r="G37" s="83">
        <f t="shared" ca="1" si="5"/>
        <v>0.83592466165890644</v>
      </c>
      <c r="H37" s="83">
        <f t="shared" ca="1" si="6"/>
        <v>0.92189826345146209</v>
      </c>
      <c r="I37" s="83">
        <f t="shared" ca="1" si="0"/>
        <v>0.95</v>
      </c>
      <c r="J37" s="89">
        <f t="shared" ca="1" si="1"/>
        <v>0.98</v>
      </c>
      <c r="K37" s="46">
        <f ca="1">VLOOKUP($A37,'SWIR data'!$A$5:$K$795,11)/100</f>
        <v>0.72659952762542934</v>
      </c>
      <c r="L37" s="90">
        <f t="shared" ca="1" si="2"/>
        <v>2.1087913487310845</v>
      </c>
      <c r="N37" s="6">
        <f t="shared" ca="1" si="3"/>
        <v>0.58536585365854155</v>
      </c>
    </row>
    <row r="38" spans="1:14" ht="15">
      <c r="A38" s="79">
        <f t="shared" ca="1" si="4"/>
        <v>1.088666002986562</v>
      </c>
      <c r="B38" s="83">
        <f ca="1">IF($A38&lt;&gt;"",IF($E$5="pAu",VLOOKUP(A38,pAg!$A$2:$C$47,3),VLOOKUP(A38,pAg!$O$3:$P1228,2)),"")</f>
        <v>0.97480697340454558</v>
      </c>
      <c r="C38" s="83">
        <f ca="1">VLOOKUP(A38,pAg!$A$7:$C$47,3)</f>
        <v>0.99</v>
      </c>
      <c r="D38" s="87">
        <f ca="1">IF($A38&lt;&gt;"",1-VLOOKUP($N38,'AR sim'!$E$10:$F$38,2)*'Y106'!$E$10/'AR sim'!$D$42,"")</f>
        <v>0.99602232142857139</v>
      </c>
      <c r="E38" s="88">
        <f ca="1">VLOOKUP($A38,'cycle4 AFTA filters 2'!$A$34:$G$181,'Y106'!$I$2)</f>
        <v>0.95</v>
      </c>
      <c r="F38" s="87">
        <f>IF($L$10=1, IF($K$10="R",VLOOKUP($A38,dichroic!$F$5:$H$1232,3),VLOOKUP($A38,dichroic!$F$5:$H$1232,2)),1)</f>
        <v>1</v>
      </c>
      <c r="G38" s="83">
        <f t="shared" ca="1" si="5"/>
        <v>0.8362126666652332</v>
      </c>
      <c r="H38" s="83">
        <f t="shared" ca="1" si="6"/>
        <v>0.92202530067817046</v>
      </c>
      <c r="I38" s="83">
        <f t="shared" ca="1" si="0"/>
        <v>0.95</v>
      </c>
      <c r="J38" s="89">
        <f t="shared" ca="1" si="1"/>
        <v>0.98</v>
      </c>
      <c r="K38" s="46">
        <f ca="1">VLOOKUP($A38,'SWIR data'!$A$5:$K$795,11)/100</f>
        <v>0.73020083228386179</v>
      </c>
      <c r="L38" s="90">
        <f t="shared" ca="1" si="2"/>
        <v>2.1199734764906233</v>
      </c>
      <c r="N38" s="6">
        <f t="shared" ca="1" si="3"/>
        <v>0.60975609756098093</v>
      </c>
    </row>
    <row r="39" spans="1:14" ht="15">
      <c r="A39" s="79">
        <f t="shared" ca="1" si="4"/>
        <v>1.0951269288203103</v>
      </c>
      <c r="B39" s="83">
        <f ca="1">IF($A39&lt;&gt;"",IF($E$5="pAu",VLOOKUP(A39,pAg!$A$2:$C$47,3),VLOOKUP(A39,pAg!$O$3:$P1229,2)),"")</f>
        <v>0.97482313582272728</v>
      </c>
      <c r="C39" s="83">
        <f ca="1">VLOOKUP(A39,pAg!$A$7:$C$47,3)</f>
        <v>0.99</v>
      </c>
      <c r="D39" s="87">
        <f ca="1">IF($A39&lt;&gt;"",1-VLOOKUP($N39,'AR sim'!$E$10:$F$38,2)*'Y106'!$E$10/'AR sim'!$D$42,"")</f>
        <v>0.99602232142857139</v>
      </c>
      <c r="E39" s="88">
        <f ca="1">VLOOKUP($A39,'cycle4 AFTA filters 2'!$A$34:$G$181,'Y106'!$I$2)</f>
        <v>0.95</v>
      </c>
      <c r="F39" s="87">
        <f>IF($L$10=1, IF($K$10="R",VLOOKUP($A39,dichroic!$F$5:$H$1232,3),VLOOKUP($A39,dichroic!$F$5:$H$1232,2)),1)</f>
        <v>1</v>
      </c>
      <c r="G39" s="83">
        <f t="shared" ca="1" si="5"/>
        <v>0.8362819915026195</v>
      </c>
      <c r="H39" s="83">
        <f t="shared" ca="1" si="6"/>
        <v>0.9220558755148921</v>
      </c>
      <c r="I39" s="83">
        <f t="shared" ca="1" si="0"/>
        <v>0.95</v>
      </c>
      <c r="J39" s="89">
        <f t="shared" ca="1" si="1"/>
        <v>0.98</v>
      </c>
      <c r="K39" s="46">
        <f ca="1">VLOOKUP($A39,'SWIR data'!$A$5:$K$795,11)/100</f>
        <v>0.73263898479121525</v>
      </c>
      <c r="L39" s="90">
        <f t="shared" ca="1" si="2"/>
        <v>2.1272284423201295</v>
      </c>
      <c r="N39" s="6">
        <f t="shared" ca="1" si="3"/>
        <v>0.63414634146342042</v>
      </c>
    </row>
    <row r="40" spans="1:14" ht="15">
      <c r="A40" s="79">
        <f t="shared" ca="1" si="4"/>
        <v>1.1015878546540585</v>
      </c>
      <c r="B40" s="83">
        <f ca="1">IF($A40&lt;&gt;"",IF($E$5="pAu",VLOOKUP(A40,pAg!$A$2:$C$47,3),VLOOKUP(A40,pAg!$O$3:$P1230,2)),"")</f>
        <v>0.97485496315909104</v>
      </c>
      <c r="C40" s="83">
        <f ca="1">VLOOKUP(A40,pAg!$A$7:$C$47,3)</f>
        <v>0.99</v>
      </c>
      <c r="D40" s="87">
        <f ca="1">IF($A40&lt;&gt;"",1-VLOOKUP($N40,'AR sim'!$E$10:$F$38,2)*'Y106'!$E$10/'AR sim'!$D$42,"")</f>
        <v>0.99646428571428569</v>
      </c>
      <c r="E40" s="88">
        <f ca="1">VLOOKUP($A40,'cycle4 AFTA filters 2'!$A$34:$G$181,'Y106'!$I$2)</f>
        <v>0.95</v>
      </c>
      <c r="F40" s="87">
        <f>IF($L$10=1, IF($K$10="R",VLOOKUP($A40,dichroic!$F$5:$H$1232,3),VLOOKUP($A40,dichroic!$F$5:$H$1232,2)),1)</f>
        <v>1</v>
      </c>
      <c r="G40" s="83">
        <f t="shared" ca="1" si="5"/>
        <v>0.83641852071160128</v>
      </c>
      <c r="H40" s="83">
        <f t="shared" ca="1" si="6"/>
        <v>0.92211608553759494</v>
      </c>
      <c r="I40" s="83">
        <f t="shared" ca="1" si="0"/>
        <v>0.95</v>
      </c>
      <c r="J40" s="89">
        <f t="shared" ca="1" si="1"/>
        <v>0.98</v>
      </c>
      <c r="K40" s="46">
        <f ca="1">VLOOKUP($A40,'SWIR data'!$A$5:$K$795,11)/100</f>
        <v>0.73508847838133873</v>
      </c>
      <c r="L40" s="90">
        <f t="shared" ca="1" si="2"/>
        <v>2.1346890310949056</v>
      </c>
      <c r="N40" s="6">
        <f t="shared" ca="1" si="3"/>
        <v>0.65853658536585979</v>
      </c>
    </row>
    <row r="41" spans="1:14" ht="15">
      <c r="A41" s="79">
        <f t="shared" ca="1" si="4"/>
        <v>1.1080487804878068</v>
      </c>
      <c r="B41" s="83">
        <f ca="1">IF($A41&lt;&gt;"",IF($E$5="pAu",VLOOKUP(A41,pAg!$A$2:$C$47,3),VLOOKUP(A41,pAg!$O$3:$P1231,2)),"")</f>
        <v>0.97483791066818171</v>
      </c>
      <c r="C41" s="83">
        <f ca="1">VLOOKUP(A41,pAg!$A$7:$C$47,3)</f>
        <v>0.99</v>
      </c>
      <c r="D41" s="87">
        <f ca="1">IF($A41&lt;&gt;"",1-VLOOKUP($N41,'AR sim'!$E$10:$F$38,2)*'Y106'!$E$10/'AR sim'!$D$42,"")</f>
        <v>0.99690624999999999</v>
      </c>
      <c r="E41" s="88">
        <f ca="1">VLOOKUP($A41,'cycle4 AFTA filters 2'!$A$34:$G$181,'Y106'!$I$2)</f>
        <v>0.95</v>
      </c>
      <c r="F41" s="87">
        <f>IF($L$10=1, IF($K$10="R",VLOOKUP($A41,dichroic!$F$5:$H$1232,3),VLOOKUP($A41,dichroic!$F$5:$H$1232,2)),1)</f>
        <v>1</v>
      </c>
      <c r="G41" s="83">
        <f t="shared" ca="1" si="5"/>
        <v>0.83634536870037135</v>
      </c>
      <c r="H41" s="83">
        <f t="shared" ca="1" si="6"/>
        <v>0.92208382589029925</v>
      </c>
      <c r="I41" s="83">
        <f t="shared" ca="1" si="0"/>
        <v>0.95</v>
      </c>
      <c r="J41" s="89">
        <f t="shared" ca="1" si="1"/>
        <v>0.98</v>
      </c>
      <c r="K41" s="46">
        <f ca="1">VLOOKUP($A41,'SWIR data'!$A$5:$K$795,11)/100</f>
        <v>0.73756623821984557</v>
      </c>
      <c r="L41" s="90">
        <f t="shared" ca="1" si="2"/>
        <v>2.1416970927435526</v>
      </c>
      <c r="N41" s="6">
        <f t="shared" ca="1" si="3"/>
        <v>0.68292682926829928</v>
      </c>
    </row>
    <row r="42" spans="1:14" ht="15">
      <c r="A42" s="79">
        <f t="shared" ca="1" si="4"/>
        <v>1.114509706321555</v>
      </c>
      <c r="B42" s="83">
        <f ca="1">IF($A42&lt;&gt;"",IF($E$5="pAu",VLOOKUP(A42,pAg!$A$2:$C$47,3),VLOOKUP(A42,pAg!$O$3:$P1232,2)),"")</f>
        <v>0.9748821447499999</v>
      </c>
      <c r="C42" s="83">
        <f ca="1">VLOOKUP(A42,pAg!$A$7:$C$47,3)</f>
        <v>0.99</v>
      </c>
      <c r="D42" s="87">
        <f ca="1">IF($A42&lt;&gt;"",1-VLOOKUP($N42,'AR sim'!$E$10:$F$38,2)*'Y106'!$E$10/'AR sim'!$D$42,"")</f>
        <v>0.99690624999999999</v>
      </c>
      <c r="E42" s="88">
        <f ca="1">VLOOKUP($A42,'cycle4 AFTA filters 2'!$A$34:$G$181,'Y106'!$I$2)</f>
        <v>0.95</v>
      </c>
      <c r="F42" s="87">
        <f>IF($L$10=1, IF($K$10="R",VLOOKUP($A42,dichroic!$F$5:$H$1232,3),VLOOKUP($A42,dichroic!$F$5:$H$1232,2)),1)</f>
        <v>1</v>
      </c>
      <c r="G42" s="83">
        <f t="shared" ca="1" si="5"/>
        <v>0.83653513525832879</v>
      </c>
      <c r="H42" s="83">
        <f t="shared" ca="1" si="6"/>
        <v>0.92216750843143847</v>
      </c>
      <c r="I42" s="83">
        <f t="shared" ca="1" si="0"/>
        <v>0.95</v>
      </c>
      <c r="J42" s="89">
        <f t="shared" ca="1" si="1"/>
        <v>0.98</v>
      </c>
      <c r="K42" s="46">
        <f ca="1">VLOOKUP($A42,'SWIR data'!$A$5:$K$795,11)/100</f>
        <v>0.74006386366220678</v>
      </c>
      <c r="L42" s="90">
        <f t="shared" ca="1" si="2"/>
        <v>2.149437131927471</v>
      </c>
      <c r="N42" s="6">
        <f t="shared" ca="1" si="3"/>
        <v>0.70731707317073866</v>
      </c>
    </row>
    <row r="43" spans="1:14" ht="15">
      <c r="A43" s="79">
        <f t="shared" ca="1" si="4"/>
        <v>1.1209706321553032</v>
      </c>
      <c r="B43" s="83">
        <f ca="1">IF($A43&lt;&gt;"",IF($E$5="pAu",VLOOKUP(A43,pAg!$A$2:$C$47,3),VLOOKUP(A43,pAg!$O$3:$P1233,2)),"")</f>
        <v>0.97496196184090911</v>
      </c>
      <c r="C43" s="83">
        <f ca="1">VLOOKUP(A43,pAg!$A$7:$C$47,3)</f>
        <v>0.99</v>
      </c>
      <c r="D43" s="87">
        <f ca="1">IF($A43&lt;&gt;"",1-VLOOKUP($N43,'AR sim'!$E$10:$F$38,2)*'Y106'!$E$10/'AR sim'!$D$42,"")</f>
        <v>0.9973482142857143</v>
      </c>
      <c r="E43" s="88">
        <f ca="1">VLOOKUP($A43,'cycle4 AFTA filters 2'!$A$34:$G$181,'Y106'!$I$2)</f>
        <v>0.95</v>
      </c>
      <c r="F43" s="87">
        <f>IF($L$10=1, IF($K$10="R",VLOOKUP($A43,dichroic!$F$5:$H$1232,3),VLOOKUP($A43,dichroic!$F$5:$H$1232,2)),1)</f>
        <v>1</v>
      </c>
      <c r="G43" s="83">
        <f t="shared" ca="1" si="5"/>
        <v>0.83687764196829206</v>
      </c>
      <c r="H43" s="83">
        <f t="shared" ca="1" si="6"/>
        <v>0.92231851692285793</v>
      </c>
      <c r="I43" s="83">
        <f t="shared" ca="1" si="0"/>
        <v>0.95</v>
      </c>
      <c r="J43" s="89">
        <f t="shared" ca="1" si="1"/>
        <v>0.98</v>
      </c>
      <c r="K43" s="46">
        <f ca="1">VLOOKUP($A43,'SWIR data'!$A$5:$K$795,11)/100</f>
        <v>0.74257292798461905</v>
      </c>
      <c r="L43" s="90">
        <f t="shared" ca="1" si="2"/>
        <v>2.15760748192056</v>
      </c>
      <c r="N43" s="6">
        <f t="shared" ca="1" si="3"/>
        <v>0.73170731707317804</v>
      </c>
    </row>
    <row r="44" spans="1:14" ht="15">
      <c r="A44" s="79">
        <f t="shared" ca="1" si="4"/>
        <v>1.1274315579890515</v>
      </c>
      <c r="B44" s="83">
        <f ca="1">IF($A44&lt;&gt;"",IF($E$5="pAu",VLOOKUP(A44,pAg!$A$2:$C$47,3),VLOOKUP(A44,pAg!$O$3:$P1234,2)),"")</f>
        <v>0.97503175837727274</v>
      </c>
      <c r="C44" s="83">
        <f ca="1">VLOOKUP(A44,pAg!$A$7:$C$47,3)</f>
        <v>0.99</v>
      </c>
      <c r="D44" s="87">
        <f ca="1">IF($A44&lt;&gt;"",1-VLOOKUP($N44,'AR sim'!$E$10:$F$38,2)*'Y106'!$E$10/'AR sim'!$D$42,"")</f>
        <v>0.99712723214285715</v>
      </c>
      <c r="E44" s="88">
        <f ca="1">VLOOKUP($A44,'cycle4 AFTA filters 2'!$A$34:$G$181,'Y106'!$I$2)</f>
        <v>0.95</v>
      </c>
      <c r="F44" s="87">
        <f>IF($L$10=1, IF($K$10="R",VLOOKUP($A44,dichroic!$F$5:$H$1232,3),VLOOKUP($A44,dichroic!$F$5:$H$1232,2)),1)</f>
        <v>1</v>
      </c>
      <c r="G44" s="83">
        <f t="shared" ca="1" si="5"/>
        <v>0.83717724096213042</v>
      </c>
      <c r="H44" s="83">
        <f t="shared" ca="1" si="6"/>
        <v>0.92245057734097147</v>
      </c>
      <c r="I44" s="83">
        <f t="shared" ca="1" si="0"/>
        <v>0.95</v>
      </c>
      <c r="J44" s="89">
        <f t="shared" ca="1" si="1"/>
        <v>0.98</v>
      </c>
      <c r="K44" s="46">
        <f ca="1">VLOOKUP($A44,'SWIR data'!$A$5:$K$795,11)/100</f>
        <v>0.74509345074653832</v>
      </c>
      <c r="L44" s="90">
        <f t="shared" ca="1" si="2"/>
        <v>2.1657061077483495</v>
      </c>
      <c r="N44" s="6">
        <f t="shared" ca="1" si="3"/>
        <v>0.75609756097561753</v>
      </c>
    </row>
    <row r="45" spans="1:14" ht="15">
      <c r="A45" s="79">
        <f t="shared" ca="1" si="4"/>
        <v>1.1338924838227997</v>
      </c>
      <c r="B45" s="83">
        <f ca="1">IF($A45&lt;&gt;"",IF($E$5="pAu",VLOOKUP(A45,pAg!$A$2:$C$47,3),VLOOKUP(A45,pAg!$O$3:$P1213,2)),"")</f>
        <v>0.97511422578636386</v>
      </c>
      <c r="C45" s="83">
        <f ca="1">VLOOKUP(A45,pAg!$A$7:$C$47,3)</f>
        <v>0.99</v>
      </c>
      <c r="D45" s="87">
        <f ca="1">IF($A45&lt;&gt;"",1-VLOOKUP($N45,'AR sim'!$E$10:$F$38,2)*'Y106'!$E$10/'AR sim'!$D$42,"")</f>
        <v>0.99712723214285715</v>
      </c>
      <c r="E45" s="88">
        <f ca="1">VLOOKUP($A45,'cycle4 AFTA filters 2'!$A$34:$G$181,'Y106'!$I$2)</f>
        <v>0.95</v>
      </c>
      <c r="F45" s="87">
        <f>IF($L$10=1, IF($K$10="R",VLOOKUP($A45,dichroic!$F$5:$H$1232,3),VLOOKUP($A45,dichroic!$F$5:$H$1232,2)),1)</f>
        <v>1</v>
      </c>
      <c r="G45" s="83">
        <f t="shared" ca="1" si="5"/>
        <v>0.83753133977519834</v>
      </c>
      <c r="H45" s="83">
        <f t="shared" ca="1" si="6"/>
        <v>0.92260662420925754</v>
      </c>
      <c r="I45" s="83">
        <f t="shared" ca="1" si="0"/>
        <v>0.95</v>
      </c>
      <c r="J45" s="89">
        <f t="shared" ca="1" si="1"/>
        <v>0.98</v>
      </c>
      <c r="K45" s="46">
        <f ca="1">VLOOKUP($A45,'SWIR data'!$A$5:$K$795,11)/100</f>
        <v>0.74763393038977444</v>
      </c>
      <c r="L45" s="90">
        <f t="shared" ca="1" si="2"/>
        <v>2.174009472200269</v>
      </c>
      <c r="N45" s="6">
        <f t="shared" ca="1" si="3"/>
        <v>0.78048780487805691</v>
      </c>
    </row>
    <row r="46" spans="1:14" ht="15">
      <c r="A46" s="79">
        <f t="shared" ca="1" si="4"/>
        <v>1.140353409656548</v>
      </c>
      <c r="B46" s="83">
        <f ca="1">IF($A46&lt;&gt;"",IF($E$5="pAu",VLOOKUP(A46,pAg!$A$2:$C$47,3),VLOOKUP(A46,pAg!$O$3:$P1214,2)),"")</f>
        <v>0.97518460123181816</v>
      </c>
      <c r="C46" s="83">
        <f ca="1">VLOOKUP(A46,pAg!$A$7:$C$47,3)</f>
        <v>0.99</v>
      </c>
      <c r="D46" s="87">
        <f ca="1">IF($A46&lt;&gt;"",1-VLOOKUP($N46,'AR sim'!$E$10:$F$38,2)*'Y106'!$E$10/'AR sim'!$D$42,"")</f>
        <v>0.99690624999999999</v>
      </c>
      <c r="E46" s="88">
        <f ca="1">VLOOKUP($A46,'cycle4 AFTA filters 2'!$A$34:$G$181,'Y106'!$I$2)</f>
        <v>0.95</v>
      </c>
      <c r="F46" s="87">
        <f>IF($L$10=1, IF($K$10="R",VLOOKUP($A46,dichroic!$F$5:$H$1232,3),VLOOKUP($A46,dichroic!$F$5:$H$1232,2)),1)</f>
        <v>1</v>
      </c>
      <c r="G46" s="83">
        <f t="shared" ca="1" si="5"/>
        <v>0.83783361282170776</v>
      </c>
      <c r="H46" s="83">
        <f t="shared" ca="1" si="6"/>
        <v>0.92273980080220774</v>
      </c>
      <c r="I46" s="83">
        <f t="shared" ca="1" si="0"/>
        <v>0.95</v>
      </c>
      <c r="J46" s="89">
        <f t="shared" ca="1" si="1"/>
        <v>0.98</v>
      </c>
      <c r="K46" s="46">
        <f ca="1">VLOOKUP($A46,'SWIR data'!$A$5:$K$795,11)/100</f>
        <v>0.75017752630238732</v>
      </c>
      <c r="L46" s="90">
        <f t="shared" ca="1" si="2"/>
        <v>2.1821931650619795</v>
      </c>
      <c r="N46" s="6">
        <f t="shared" ca="1" si="3"/>
        <v>0.8048780487804964</v>
      </c>
    </row>
    <row r="47" spans="1:14" ht="15">
      <c r="A47" s="79">
        <f t="shared" ca="1" si="4"/>
        <v>1.1468143354902962</v>
      </c>
      <c r="B47" s="83">
        <f ca="1">IF($A47&lt;&gt;"",IF($E$5="pAu",VLOOKUP(A47,pAg!$A$2:$C$47,3),VLOOKUP(A47,pAg!$O$3:$P1215,2)),"")</f>
        <v>0.97522162065909102</v>
      </c>
      <c r="C47" s="83">
        <f ca="1">VLOOKUP(A47,pAg!$A$7:$C$47,3)</f>
        <v>0.99</v>
      </c>
      <c r="D47" s="87">
        <f ca="1">IF($A47&lt;&gt;"",1-VLOOKUP($N47,'AR sim'!$E$10:$F$38,2)*'Y106'!$E$10/'AR sim'!$D$42,"")</f>
        <v>0.99668526785714284</v>
      </c>
      <c r="E47" s="88">
        <f ca="1">VLOOKUP($A47,'cycle4 AFTA filters 2'!$A$34:$G$181,'Y106'!$I$2)</f>
        <v>0.95</v>
      </c>
      <c r="F47" s="87">
        <f>IF($L$10=1, IF($K$10="R",VLOOKUP($A47,dichroic!$F$5:$H$1232,3),VLOOKUP($A47,dichroic!$F$5:$H$1232,2)),1)</f>
        <v>1</v>
      </c>
      <c r="G47" s="83">
        <f t="shared" ca="1" si="5"/>
        <v>0.83799265181484306</v>
      </c>
      <c r="H47" s="83">
        <f t="shared" ca="1" si="6"/>
        <v>0.92280985922452652</v>
      </c>
      <c r="I47" s="83">
        <f t="shared" ca="1" si="0"/>
        <v>0.95</v>
      </c>
      <c r="J47" s="89">
        <f t="shared" ca="1" si="1"/>
        <v>0.98</v>
      </c>
      <c r="K47" s="46">
        <f ca="1">VLOOKUP($A47,'SWIR data'!$A$5:$K$795,11)/100</f>
        <v>0.75272405657638741</v>
      </c>
      <c r="L47" s="90">
        <f t="shared" ca="1" si="2"/>
        <v>2.190016406667656</v>
      </c>
      <c r="N47" s="6">
        <f t="shared" ca="1" si="3"/>
        <v>0.82926829268293578</v>
      </c>
    </row>
    <row r="48" spans="1:14" ht="15">
      <c r="A48" s="79">
        <f t="shared" ca="1" si="4"/>
        <v>1.1532752613240445</v>
      </c>
      <c r="B48" s="83">
        <f ca="1">IF($A48&lt;&gt;"",IF($E$5="pAu",VLOOKUP(A48,pAg!$A$2:$C$47,3),VLOOKUP(A48,pAg!$O$3:$P1216,2)),"")</f>
        <v>0.97526258842727287</v>
      </c>
      <c r="C48" s="83">
        <f ca="1">VLOOKUP(A48,pAg!$A$7:$C$47,3)</f>
        <v>0.99</v>
      </c>
      <c r="D48" s="87">
        <f ca="1">IF($A48&lt;&gt;"",1-VLOOKUP($N48,'AR sim'!$E$10:$F$38,2)*'Y106'!$E$10/'AR sim'!$D$42,"")</f>
        <v>0.99668526785714284</v>
      </c>
      <c r="E48" s="88">
        <f ca="1">VLOOKUP($A48,'cycle4 AFTA filters 2'!$A$34:$G$181,'Y106'!$I$2)</f>
        <v>0.95</v>
      </c>
      <c r="F48" s="87">
        <f>IF($L$10=1, IF($K$10="R",VLOOKUP($A48,dichroic!$F$5:$H$1232,3),VLOOKUP($A48,dichroic!$F$5:$H$1232,2)),1)</f>
        <v>1</v>
      </c>
      <c r="G48" s="83">
        <f t="shared" ca="1" si="5"/>
        <v>0.83816868140886025</v>
      </c>
      <c r="H48" s="83">
        <f t="shared" ca="1" si="6"/>
        <v>0.92288739289208754</v>
      </c>
      <c r="I48" s="83">
        <f t="shared" ca="1" si="0"/>
        <v>0.95</v>
      </c>
      <c r="J48" s="89">
        <f t="shared" ca="1" si="1"/>
        <v>0.98</v>
      </c>
      <c r="K48" s="46">
        <f ca="1">VLOOKUP($A48,'SWIR data'!$A$5:$K$795,11)/100</f>
        <v>0.75528211048911198</v>
      </c>
      <c r="L48" s="90">
        <f t="shared" ca="1" si="2"/>
        <v>2.1979205486549347</v>
      </c>
      <c r="N48" s="6">
        <f t="shared" ca="1" si="3"/>
        <v>0.85365853658537516</v>
      </c>
    </row>
    <row r="49" spans="1:14" ht="15">
      <c r="A49" s="79">
        <f t="shared" ca="1" si="4"/>
        <v>1.1597361871577927</v>
      </c>
      <c r="B49" s="83">
        <f ca="1">IF($A49&lt;&gt;"",IF($E$5="pAu",VLOOKUP(A49,pAg!$A$2:$C$47,3),VLOOKUP(A49,pAg!$O$3:$P1217,2)),"")</f>
        <v>0.97531947619545467</v>
      </c>
      <c r="C49" s="83">
        <f ca="1">VLOOKUP(A49,pAg!$A$7:$C$47,3)</f>
        <v>0.99</v>
      </c>
      <c r="D49" s="87">
        <f ca="1">IF($A49&lt;&gt;"",1-VLOOKUP($N49,'AR sim'!$E$10:$F$38,2)*'Y106'!$E$10/'AR sim'!$D$42,"")</f>
        <v>0.99646428571428569</v>
      </c>
      <c r="E49" s="88">
        <f ca="1">VLOOKUP($A49,'cycle4 AFTA filters 2'!$A$34:$G$181,'Y106'!$I$2)</f>
        <v>0.95</v>
      </c>
      <c r="F49" s="87">
        <f>IF($L$10=1, IF($K$10="R",VLOOKUP($A49,dichroic!$F$5:$H$1232,3),VLOOKUP($A49,dichroic!$F$5:$H$1232,2)),1)</f>
        <v>1</v>
      </c>
      <c r="G49" s="83">
        <f t="shared" ca="1" si="5"/>
        <v>0.8384131648389298</v>
      </c>
      <c r="H49" s="83">
        <f t="shared" ca="1" si="6"/>
        <v>0.92299506140290388</v>
      </c>
      <c r="I49" s="83">
        <f t="shared" ca="1" si="0"/>
        <v>0.95</v>
      </c>
      <c r="J49" s="89">
        <f t="shared" ca="1" si="1"/>
        <v>0.98</v>
      </c>
      <c r="K49" s="46">
        <f ca="1">VLOOKUP($A49,'SWIR data'!$A$5:$K$795,11)/100</f>
        <v>0.75785170760001708</v>
      </c>
      <c r="L49" s="90">
        <f t="shared" ca="1" si="2"/>
        <v>2.2060415323906075</v>
      </c>
      <c r="N49" s="6">
        <f t="shared" ca="1" si="3"/>
        <v>0.87804878048781465</v>
      </c>
    </row>
    <row r="50" spans="1:14" ht="15">
      <c r="A50" s="79">
        <f t="shared" ca="1" si="4"/>
        <v>1.1661971129915409</v>
      </c>
      <c r="B50" s="83">
        <f ca="1">IF($A50&lt;&gt;"",IF($E$5="pAu",VLOOKUP(A50,pAg!$A$2:$C$47,3),VLOOKUP(A50,pAg!$O$3:$P1218,2)),"")</f>
        <v>0.97539420702727286</v>
      </c>
      <c r="C50" s="83">
        <f ca="1">VLOOKUP(A50,pAg!$A$7:$C$47,3)</f>
        <v>0.99</v>
      </c>
      <c r="D50" s="87">
        <f ca="1">IF($A50&lt;&gt;"",1-VLOOKUP($N50,'AR sim'!$E$10:$F$38,2)*'Y106'!$E$10/'AR sim'!$D$42,"")</f>
        <v>0.99513839285714289</v>
      </c>
      <c r="E50" s="88">
        <f ca="1">VLOOKUP($A50,'cycle4 AFTA filters 2'!$A$34:$G$181,'Y106'!$I$2)</f>
        <v>0.95</v>
      </c>
      <c r="F50" s="87">
        <f>IF($L$10=1, IF($K$10="R",VLOOKUP($A50,dichroic!$F$5:$H$1232,3),VLOOKUP($A50,dichroic!$F$5:$H$1232,2)),1)</f>
        <v>1</v>
      </c>
      <c r="G50" s="83">
        <f t="shared" ca="1" si="5"/>
        <v>0.83873441811551874</v>
      </c>
      <c r="H50" s="83">
        <f t="shared" ca="1" si="6"/>
        <v>0.92313651009316311</v>
      </c>
      <c r="I50" s="83">
        <f t="shared" ca="1" si="0"/>
        <v>0.95</v>
      </c>
      <c r="J50" s="89">
        <f t="shared" ca="1" si="1"/>
        <v>0.98</v>
      </c>
      <c r="K50" s="46">
        <f ca="1">VLOOKUP($A50,'SWIR data'!$A$5:$K$795,11)/100</f>
        <v>0.76041584450360478</v>
      </c>
      <c r="L50" s="90">
        <f t="shared" ca="1" si="2"/>
        <v>2.2143536606693548</v>
      </c>
      <c r="N50" s="6">
        <f t="shared" ca="1" si="3"/>
        <v>0.90243902439025403</v>
      </c>
    </row>
    <row r="51" spans="1:14" ht="15">
      <c r="A51" s="79">
        <f t="shared" ca="1" si="4"/>
        <v>1.1726580388252892</v>
      </c>
      <c r="B51" s="83">
        <f ca="1">IF($A51&lt;&gt;"",IF($E$5="pAu",VLOOKUP(A51,pAg!$A$2:$C$47,3),VLOOKUP(A51,pAg!$O$3:$P1219,2)),"")</f>
        <v>0.97545933610909086</v>
      </c>
      <c r="C51" s="83">
        <f ca="1">VLOOKUP(A51,pAg!$A$7:$C$47,3)</f>
        <v>0.99</v>
      </c>
      <c r="D51" s="87">
        <f ca="1">IF($A51&lt;&gt;"",1-VLOOKUP($N51,'AR sim'!$E$10:$F$38,2)*'Y106'!$E$10/'AR sim'!$D$42,"")</f>
        <v>0.99513839285714289</v>
      </c>
      <c r="E51" s="88">
        <f ca="1">VLOOKUP($A51,'cycle4 AFTA filters 2'!$A$34:$G$181,'Y106'!$I$2)</f>
        <v>0.90986132511555895</v>
      </c>
      <c r="F51" s="87">
        <f>IF($L$10=1, IF($K$10="R",VLOOKUP($A51,dichroic!$F$5:$H$1232,3),VLOOKUP($A51,dichroic!$F$5:$H$1232,2)),1)</f>
        <v>1</v>
      </c>
      <c r="G51" s="83">
        <f t="shared" ca="1" si="5"/>
        <v>0.80356507642081876</v>
      </c>
      <c r="H51" s="83">
        <f t="shared" ca="1" si="6"/>
        <v>0.92325979366432087</v>
      </c>
      <c r="I51" s="83">
        <f t="shared" ca="1" si="0"/>
        <v>0.90986132511555895</v>
      </c>
      <c r="J51" s="89">
        <f t="shared" ca="1" si="1"/>
        <v>0.98</v>
      </c>
      <c r="K51" s="46">
        <f ca="1">VLOOKUP($A51,'SWIR data'!$A$5:$K$795,11)/100</f>
        <v>0.76297450164041858</v>
      </c>
      <c r="L51" s="90">
        <f t="shared" ca="1" si="2"/>
        <v>2.128641083284418</v>
      </c>
      <c r="N51" s="6">
        <f t="shared" ca="1" si="3"/>
        <v>0.92682926829269352</v>
      </c>
    </row>
    <row r="52" spans="1:14" ht="15">
      <c r="A52" s="79">
        <f t="shared" ca="1" si="4"/>
        <v>1.1791189646590374</v>
      </c>
      <c r="B52" s="83">
        <f ca="1">IF($A52&lt;&gt;"",IF($E$5="pAu",VLOOKUP(A52,pAg!$A$2:$C$47,3),VLOOKUP(A52,pAg!$O$3:$P1220,2)),"")</f>
        <v>0.97552995216363636</v>
      </c>
      <c r="C52" s="83">
        <f ca="1">VLOOKUP(A52,pAg!$A$7:$C$47,3)</f>
        <v>0.99</v>
      </c>
      <c r="D52" s="87">
        <f ca="1">IF($A52&lt;&gt;"",1-VLOOKUP($N52,'AR sim'!$E$10:$F$38,2)*'Y106'!$E$10/'AR sim'!$D$42,"")</f>
        <v>0.99381249999999999</v>
      </c>
      <c r="E52" s="88">
        <f ca="1">VLOOKUP($A52,'cycle4 AFTA filters 2'!$A$34:$G$181,'Y106'!$I$2)</f>
        <v>0.90986132511555895</v>
      </c>
      <c r="F52" s="87">
        <f>IF($L$10=1, IF($K$10="R",VLOOKUP($A52,dichroic!$F$5:$H$1232,3),VLOOKUP($A52,dichroic!$F$5:$H$1232,2)),1)</f>
        <v>1</v>
      </c>
      <c r="G52" s="83">
        <f t="shared" ca="1" si="5"/>
        <v>0.80385597943205078</v>
      </c>
      <c r="H52" s="83">
        <f t="shared" ca="1" si="6"/>
        <v>0.92339347288891793</v>
      </c>
      <c r="I52" s="83">
        <f t="shared" ca="1" si="0"/>
        <v>0.90986132511555895</v>
      </c>
      <c r="J52" s="89">
        <f t="shared" ca="1" si="1"/>
        <v>0.98</v>
      </c>
      <c r="K52" s="46">
        <f ca="1">VLOOKUP($A52,'SWIR data'!$A$5:$K$795,11)/100</f>
        <v>0.7655361839731174</v>
      </c>
      <c r="L52" s="90">
        <f t="shared" ca="1" si="2"/>
        <v>2.1365611713591597</v>
      </c>
      <c r="N52" s="6">
        <f t="shared" ca="1" si="3"/>
        <v>0.9512195121951329</v>
      </c>
    </row>
    <row r="53" spans="1:14" ht="15">
      <c r="A53" s="79">
        <f t="shared" ca="1" si="4"/>
        <v>1.1855798904927857</v>
      </c>
      <c r="B53" s="83">
        <f ca="1">IF($A53&lt;&gt;"",IF($E$5="pAu",VLOOKUP(A53,pAg!$A$2:$C$47,3),VLOOKUP(A53,pAg!$O$3:$P1221,2)),"")</f>
        <v>0.97561725346363648</v>
      </c>
      <c r="C53" s="83">
        <f ca="1">VLOOKUP(A53,pAg!$A$7:$C$47,3)</f>
        <v>0.99</v>
      </c>
      <c r="D53" s="87">
        <f ca="1">IF($A53&lt;&gt;"",1-VLOOKUP($N53,'AR sim'!$E$10:$F$38,2)*'Y106'!$E$10/'AR sim'!$D$42,"")</f>
        <v>0.99248660714285719</v>
      </c>
      <c r="E53" s="88">
        <f ca="1">VLOOKUP($A53,'cycle4 AFTA filters 2'!$A$34:$G$181,'Y106'!$I$2)</f>
        <v>0.72390572390572028</v>
      </c>
      <c r="F53" s="87">
        <f>IF($L$10=1, IF($K$10="R",VLOOKUP($A53,dichroic!$F$5:$H$1232,3),VLOOKUP($A53,dichroic!$F$5:$H$1232,2)),1)</f>
        <v>1</v>
      </c>
      <c r="G53" s="83">
        <f t="shared" ca="1" si="5"/>
        <v>0.63985176299721336</v>
      </c>
      <c r="H53" s="83">
        <f t="shared" ca="1" si="6"/>
        <v>0.9235587513768031</v>
      </c>
      <c r="I53" s="83">
        <f t="shared" ca="1" si="0"/>
        <v>0.72390572390572028</v>
      </c>
      <c r="J53" s="89">
        <f t="shared" ca="1" si="1"/>
        <v>0.98</v>
      </c>
      <c r="K53" s="46">
        <f ca="1">VLOOKUP($A53,'SWIR data'!$A$5:$K$795,11)/100</f>
        <v>0.76810089150170091</v>
      </c>
      <c r="L53" s="90">
        <f t="shared" ca="1" si="2"/>
        <v>1.7063534781834997</v>
      </c>
      <c r="N53" s="6">
        <f t="shared" ca="1" si="3"/>
        <v>0.97560975609757228</v>
      </c>
    </row>
    <row r="54" spans="1:14" ht="15">
      <c r="A54" s="79">
        <f t="shared" ca="1" si="4"/>
        <v>1.1920408163265339</v>
      </c>
      <c r="B54" s="83">
        <f ca="1">IF($A54&lt;&gt;"",IF($E$5="pAu",VLOOKUP(A54,pAg!$A$2:$C$47,3),VLOOKUP(A54,pAg!$O$3:$P1222,2)),"")</f>
        <v>0.97571049129545473</v>
      </c>
      <c r="C54" s="83">
        <f ca="1">VLOOKUP(A54,pAg!$A$7:$C$47,3)</f>
        <v>0.99</v>
      </c>
      <c r="D54" s="87">
        <f ca="1">IF($A54&lt;&gt;"",1-VLOOKUP($N54,'AR sim'!$E$10:$F$38,2)*'Y106'!$E$10/'AR sim'!$D$42,"")</f>
        <v>0.99116071428571428</v>
      </c>
      <c r="E54" s="88">
        <f t="shared" ref="E54" ca="1" si="7">E53</f>
        <v>0.72390572390572028</v>
      </c>
      <c r="F54" s="87">
        <f>IF($L$10=1, IF($K$10="R",VLOOKUP($A54,dichroic!$F$5:$H$1232,3),VLOOKUP($A54,dichroic!$F$5:$H$1232,2)),1)</f>
        <v>1</v>
      </c>
      <c r="G54" s="83">
        <f t="shared" ca="1" si="5"/>
        <v>0.64015756834667947</v>
      </c>
      <c r="H54" s="83">
        <f t="shared" ca="1" si="6"/>
        <v>0.9237352852171814</v>
      </c>
      <c r="I54" s="83">
        <f t="shared" ca="1" si="0"/>
        <v>0.72390572390572028</v>
      </c>
      <c r="J54" s="89">
        <f t="shared" ca="1" si="1"/>
        <v>0.98</v>
      </c>
      <c r="K54" s="46">
        <f ca="1">VLOOKUP($A54,'SWIR data'!$A$5:$K$795,11)/100</f>
        <v>0.77066008666441688</v>
      </c>
      <c r="L54" s="90">
        <f t="shared" ca="1" si="2"/>
        <v>1.7128570254013611</v>
      </c>
      <c r="N54" s="6">
        <f t="shared" ca="1" si="3"/>
        <v>1.0000000000000118</v>
      </c>
    </row>
    <row r="55" spans="1:14" ht="19.5" customHeight="1">
      <c r="A55" s="80" t="s">
        <v>335</v>
      </c>
      <c r="B55" s="81">
        <f ca="1">AVERAGE(B13:B54)</f>
        <v>0.97507602043538943</v>
      </c>
      <c r="C55" s="81"/>
      <c r="D55" s="81">
        <f t="shared" ref="D55:E55" ca="1" si="8">AVERAGE(D13:D54)</f>
        <v>0.99529623724489824</v>
      </c>
      <c r="E55" s="81">
        <f t="shared" ca="1" si="8"/>
        <v>0.90666335129611975</v>
      </c>
      <c r="F55" s="81"/>
      <c r="G55" s="81">
        <f t="shared" ref="G55:L55" ca="1" si="9">AVERAGE(G13:G54)</f>
        <v>0.79903658326132443</v>
      </c>
      <c r="H55" s="81">
        <f t="shared" ca="1" si="9"/>
        <v>0.92253444605772406</v>
      </c>
      <c r="I55" s="81">
        <f t="shared" ca="1" si="9"/>
        <v>0.90666335129611975</v>
      </c>
      <c r="J55" s="81">
        <f t="shared" ca="1" si="9"/>
        <v>0.97999999999999954</v>
      </c>
      <c r="K55" s="81">
        <f t="shared" ca="1" si="9"/>
        <v>0.72443948084410725</v>
      </c>
      <c r="L55" s="81">
        <f t="shared" ca="1" si="9"/>
        <v>2.010353587997852</v>
      </c>
      <c r="N55" s="6"/>
    </row>
    <row r="56" spans="1:14" ht="15">
      <c r="A56" s="82" t="s">
        <v>370</v>
      </c>
      <c r="B56" s="83">
        <f ca="1">STDEV(B13:B54)</f>
        <v>3.5085324023958477E-4</v>
      </c>
      <c r="C56" s="83"/>
      <c r="D56" s="83">
        <f t="shared" ref="D56:E56" ca="1" si="10">STDEV(D13:D54)</f>
        <v>2.4001260754567665E-3</v>
      </c>
      <c r="E56" s="83">
        <f t="shared" ca="1" si="10"/>
        <v>0.12080037085111642</v>
      </c>
      <c r="F56" s="83"/>
      <c r="G56" s="83">
        <f t="shared" ref="G56:L56" ca="1" si="11">STDEV(G13:G54)</f>
        <v>0.10583411002176572</v>
      </c>
      <c r="H56" s="83">
        <f t="shared" ca="1" si="11"/>
        <v>6.6397650457651863E-4</v>
      </c>
      <c r="I56" s="83">
        <f t="shared" ca="1" si="11"/>
        <v>0.12080037085111642</v>
      </c>
      <c r="J56" s="83">
        <f t="shared" ca="1" si="11"/>
        <v>2.9436635871219325E-8</v>
      </c>
      <c r="K56" s="83">
        <f t="shared" ca="1" si="11"/>
        <v>2.3998118300022048E-2</v>
      </c>
      <c r="L56" s="83">
        <f t="shared" ca="1" si="11"/>
        <v>0.27345876329242719</v>
      </c>
      <c r="N56" s="6"/>
    </row>
    <row r="57" spans="1:14" ht="15">
      <c r="A57" s="82" t="s">
        <v>336</v>
      </c>
      <c r="B57" s="83">
        <f ca="1">MIN(B13:B54)</f>
        <v>0.97465053226818188</v>
      </c>
      <c r="C57" s="83"/>
      <c r="D57" s="83">
        <f t="shared" ref="D57:E57" ca="1" si="12">MIN(D13:D54)</f>
        <v>0.98762499999999998</v>
      </c>
      <c r="E57" s="83">
        <f t="shared" ca="1" si="12"/>
        <v>0.32922444786852156</v>
      </c>
      <c r="F57" s="83"/>
      <c r="G57" s="83">
        <f t="shared" ref="G57:L57" ca="1" si="13">MIN(G13:G54)</f>
        <v>0.29147662415482661</v>
      </c>
      <c r="H57" s="83">
        <f t="shared" ca="1" si="13"/>
        <v>0.92172938340348576</v>
      </c>
      <c r="I57" s="83">
        <f t="shared" ca="1" si="13"/>
        <v>0.32922444786852156</v>
      </c>
      <c r="J57" s="83">
        <f t="shared" ca="1" si="13"/>
        <v>0.98</v>
      </c>
      <c r="K57" s="83">
        <f t="shared" ca="1" si="13"/>
        <v>0.7</v>
      </c>
      <c r="L57" s="83">
        <f t="shared" ca="1" si="13"/>
        <v>0.70839115986696277</v>
      </c>
      <c r="N57" s="6"/>
    </row>
    <row r="58" spans="1:14" ht="15">
      <c r="A58" s="82" t="s">
        <v>337</v>
      </c>
      <c r="B58" s="83">
        <f ca="1">MAX(B13:B54)</f>
        <v>0.97593822960909093</v>
      </c>
      <c r="C58" s="83"/>
      <c r="D58" s="83">
        <f t="shared" ref="D58:E58" ca="1" si="14">MAX(D13:D54)</f>
        <v>0.9973482142857143</v>
      </c>
      <c r="E58" s="83">
        <f t="shared" ca="1" si="14"/>
        <v>0.95</v>
      </c>
      <c r="F58" s="83"/>
      <c r="G58" s="83">
        <f t="shared" ref="G58:L58" ca="1" si="15">MAX(G13:G54)</f>
        <v>0.83873441811551874</v>
      </c>
      <c r="H58" s="83">
        <f t="shared" ca="1" si="15"/>
        <v>0.92416654934512654</v>
      </c>
      <c r="I58" s="83">
        <f t="shared" ca="1" si="15"/>
        <v>0.95</v>
      </c>
      <c r="J58" s="83">
        <f t="shared" ca="1" si="15"/>
        <v>0.98</v>
      </c>
      <c r="K58" s="83">
        <f t="shared" ca="1" si="15"/>
        <v>0.77066008666441688</v>
      </c>
      <c r="L58" s="83">
        <f t="shared" ca="1" si="15"/>
        <v>2.2143536606693548</v>
      </c>
      <c r="N58" s="6"/>
    </row>
    <row r="59" spans="1:14">
      <c r="L59" s="5"/>
      <c r="M59" s="5"/>
    </row>
    <row r="60" spans="1:14">
      <c r="G60" s="6"/>
      <c r="H60" s="6"/>
      <c r="I60" s="6"/>
      <c r="J60" s="6"/>
      <c r="L60" s="7"/>
      <c r="M60" s="7"/>
    </row>
    <row r="61" spans="1:14">
      <c r="E61" s="6"/>
      <c r="F61" s="6"/>
      <c r="G61" s="6"/>
      <c r="H61" s="6"/>
      <c r="I61" s="6"/>
      <c r="J61" s="6"/>
      <c r="L61" s="7"/>
      <c r="M61" s="7"/>
    </row>
  </sheetData>
  <mergeCells count="12">
    <mergeCell ref="A11:D11"/>
    <mergeCell ref="I1:J1"/>
    <mergeCell ref="H3:J3"/>
    <mergeCell ref="H4:K4"/>
    <mergeCell ref="A5:B5"/>
    <mergeCell ref="H5:K5"/>
    <mergeCell ref="H6:K6"/>
    <mergeCell ref="H7:K7"/>
    <mergeCell ref="H8:K8"/>
    <mergeCell ref="A9:B9"/>
    <mergeCell ref="H9:J9"/>
    <mergeCell ref="A10:B10"/>
  </mergeCells>
  <phoneticPr fontId="26" type="noConversion"/>
  <printOptions gridLines="1"/>
  <pageMargins left="0.24" right="0.19" top="0.62" bottom="0.7" header="0.5" footer="0.5"/>
  <pageSetup scale="53" orientation="landscape" horizontalDpi="1200" verticalDpi="1200"/>
  <headerFooter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61"/>
  <sheetViews>
    <sheetView zoomScale="75" zoomScaleNormal="75" zoomScalePageLayoutView="75" workbookViewId="0">
      <selection activeCell="A13" sqref="A13:L54"/>
    </sheetView>
  </sheetViews>
  <sheetFormatPr baseColWidth="10" defaultColWidth="8.83203125" defaultRowHeight="12"/>
  <cols>
    <col min="1" max="1" width="11.33203125" customWidth="1"/>
    <col min="2" max="2" width="12.6640625" customWidth="1"/>
    <col min="3" max="3" width="12" customWidth="1"/>
    <col min="4" max="4" width="16" customWidth="1"/>
    <col min="5" max="5" width="10.6640625" customWidth="1"/>
    <col min="6" max="6" width="9.6640625" customWidth="1"/>
    <col min="7" max="7" width="9.83203125" customWidth="1"/>
    <col min="8" max="8" width="11.6640625" customWidth="1"/>
    <col min="9" max="9" width="12.5" customWidth="1"/>
    <col min="10" max="10" width="10.1640625" customWidth="1"/>
    <col min="11" max="11" width="9.6640625" customWidth="1"/>
    <col min="12" max="12" width="12" bestFit="1" customWidth="1"/>
    <col min="13" max="13" width="12.1640625" customWidth="1"/>
    <col min="14" max="14" width="10.33203125" customWidth="1"/>
  </cols>
  <sheetData>
    <row r="1" spans="1:15" ht="15.75" customHeight="1" thickBot="1">
      <c r="A1" s="30" t="s">
        <v>309</v>
      </c>
      <c r="G1" t="s">
        <v>238</v>
      </c>
      <c r="I1" s="211" t="str">
        <f ca="1">OFFSET('cycle4 AFTA filters 2'!$A$25,0,I2-1)</f>
        <v>J129</v>
      </c>
      <c r="J1" s="212"/>
    </row>
    <row r="2" spans="1:15" ht="13" customHeight="1" thickBot="1">
      <c r="A2" s="91" t="s">
        <v>334</v>
      </c>
      <c r="B2" s="91"/>
      <c r="C2" s="91"/>
      <c r="D2" s="91"/>
      <c r="E2" s="91"/>
      <c r="F2" s="91"/>
      <c r="G2" s="91"/>
      <c r="H2" s="91" t="s">
        <v>40</v>
      </c>
      <c r="I2" s="91">
        <v>4</v>
      </c>
      <c r="J2" s="91"/>
      <c r="K2" s="91"/>
      <c r="L2" s="91"/>
      <c r="M2" s="91"/>
      <c r="N2" s="91"/>
      <c r="O2" s="91"/>
    </row>
    <row r="3" spans="1:15" ht="14" thickBot="1">
      <c r="A3" s="91"/>
      <c r="B3" s="181" t="s">
        <v>310</v>
      </c>
      <c r="C3" s="181"/>
      <c r="D3" s="181" t="s">
        <v>333</v>
      </c>
      <c r="E3" s="207">
        <f ca="1">HLOOKUP($I$1,'cycle4 AFTA filters 2'!$B$25:$G$28,2)</f>
        <v>1.1310445757250271</v>
      </c>
      <c r="F3" s="128"/>
      <c r="G3" s="94"/>
      <c r="H3" s="213" t="s">
        <v>314</v>
      </c>
      <c r="I3" s="214"/>
      <c r="J3" s="214"/>
      <c r="K3" s="183" t="s">
        <v>323</v>
      </c>
      <c r="L3" s="93">
        <v>2.36</v>
      </c>
      <c r="M3" s="91" t="s">
        <v>237</v>
      </c>
      <c r="N3" s="91"/>
      <c r="O3" s="91"/>
    </row>
    <row r="4" spans="1:15" ht="13">
      <c r="A4" s="91"/>
      <c r="B4" s="181" t="s">
        <v>311</v>
      </c>
      <c r="C4" s="181"/>
      <c r="D4" s="155" t="s">
        <v>338</v>
      </c>
      <c r="E4" s="207">
        <f ca="1">HLOOKUP($I$1,'cycle4 AFTA filters 2'!$B$25:$G$28,3)</f>
        <v>1.4542001687893207</v>
      </c>
      <c r="F4" s="128"/>
      <c r="G4" s="94"/>
      <c r="H4" s="213" t="s">
        <v>313</v>
      </c>
      <c r="I4" s="213"/>
      <c r="J4" s="213"/>
      <c r="K4" s="213"/>
      <c r="L4" s="204">
        <f>F5+F6</f>
        <v>5</v>
      </c>
      <c r="M4" s="91"/>
      <c r="N4" s="105" t="s">
        <v>321</v>
      </c>
      <c r="O4" s="97">
        <f>$L$3^2*PI()/4</f>
        <v>4.3743536108584271</v>
      </c>
    </row>
    <row r="5" spans="1:15" ht="58.25" customHeight="1">
      <c r="A5" s="215">
        <v>41777</v>
      </c>
      <c r="B5" s="216"/>
      <c r="C5" s="184"/>
      <c r="D5" s="156" t="s">
        <v>19</v>
      </c>
      <c r="E5" s="99" t="s">
        <v>306</v>
      </c>
      <c r="F5" s="129">
        <v>2</v>
      </c>
      <c r="G5" s="94"/>
      <c r="H5" s="213" t="s">
        <v>195</v>
      </c>
      <c r="I5" s="213"/>
      <c r="J5" s="213"/>
      <c r="K5" s="213"/>
      <c r="L5" s="96">
        <f>ImC!$L$5</f>
        <v>0</v>
      </c>
      <c r="M5" s="91" t="s">
        <v>236</v>
      </c>
      <c r="N5" s="91"/>
      <c r="O5" s="97">
        <f ca="1">$O$4*(1-$L$6^2-$L$7-$L$8)</f>
        <v>3.5427889894342397</v>
      </c>
    </row>
    <row r="6" spans="1:15" ht="13">
      <c r="A6" s="91"/>
      <c r="B6" s="91"/>
      <c r="C6" s="91"/>
      <c r="D6" s="180" t="s">
        <v>20</v>
      </c>
      <c r="E6" s="100"/>
      <c r="F6" s="128">
        <v>3</v>
      </c>
      <c r="G6" s="94"/>
      <c r="H6" s="213" t="s">
        <v>315</v>
      </c>
      <c r="I6" s="213"/>
      <c r="J6" s="213"/>
      <c r="K6" s="213"/>
      <c r="L6" s="96">
        <v>0.31</v>
      </c>
      <c r="M6" s="91"/>
      <c r="N6" s="91"/>
      <c r="O6" s="97"/>
    </row>
    <row r="7" spans="1:15" ht="13">
      <c r="A7" s="154"/>
      <c r="B7" s="133"/>
      <c r="C7" s="133"/>
      <c r="D7" s="91" t="s">
        <v>333</v>
      </c>
      <c r="E7" s="209">
        <f ca="1">0.5*(E3+E4)</f>
        <v>1.2926223722571739</v>
      </c>
      <c r="F7" s="129"/>
      <c r="G7" s="91"/>
      <c r="H7" s="217" t="s">
        <v>235</v>
      </c>
      <c r="I7" s="217"/>
      <c r="J7" s="217"/>
      <c r="K7" s="217"/>
      <c r="L7" s="106">
        <v>5.3999999999999999E-2</v>
      </c>
      <c r="M7" s="91"/>
      <c r="N7" s="91"/>
      <c r="O7" s="91"/>
    </row>
    <row r="8" spans="1:15" ht="14" thickBot="1">
      <c r="A8" s="91" t="s">
        <v>248</v>
      </c>
      <c r="B8" s="91"/>
      <c r="C8" s="91"/>
      <c r="D8" s="91"/>
      <c r="E8" s="127">
        <f ca="1">1/E10</f>
        <v>3.9999999999999991</v>
      </c>
      <c r="F8" s="128"/>
      <c r="G8" s="102"/>
      <c r="H8" s="217" t="s">
        <v>234</v>
      </c>
      <c r="I8" s="217"/>
      <c r="J8" s="217"/>
      <c r="K8" s="217"/>
      <c r="L8" s="106">
        <f ca="1">OFFSET('cycle4 AFTA filters 2'!$A$25,4,'J129'!I2-1)</f>
        <v>0.04</v>
      </c>
      <c r="M8" s="91"/>
      <c r="N8" s="91"/>
      <c r="O8" s="91"/>
    </row>
    <row r="9" spans="1:15" ht="14" thickBot="1">
      <c r="A9" s="217" t="s">
        <v>312</v>
      </c>
      <c r="B9" s="218"/>
      <c r="C9" s="182"/>
      <c r="D9" s="181" t="s">
        <v>333</v>
      </c>
      <c r="E9" s="103">
        <f ca="1">(E4-E3)/41</f>
        <v>7.881843733275452E-3</v>
      </c>
      <c r="F9" s="103"/>
      <c r="G9" s="91"/>
      <c r="H9" s="217" t="s">
        <v>317</v>
      </c>
      <c r="I9" s="217"/>
      <c r="J9" s="217"/>
      <c r="K9" s="181"/>
      <c r="L9" s="101">
        <v>0.02</v>
      </c>
      <c r="M9" s="91"/>
      <c r="N9" s="91"/>
      <c r="O9" s="91"/>
    </row>
    <row r="10" spans="1:15" ht="14.25" customHeight="1">
      <c r="A10" s="217" t="s">
        <v>316</v>
      </c>
      <c r="B10" s="218"/>
      <c r="C10" s="182"/>
      <c r="D10" s="182"/>
      <c r="E10" s="102">
        <f ca="1">(E4-E3)/((E3+E4)/2)</f>
        <v>0.25000000000000006</v>
      </c>
      <c r="F10" s="102"/>
      <c r="G10" s="91"/>
      <c r="H10" s="91"/>
      <c r="I10" s="91" t="s">
        <v>190</v>
      </c>
      <c r="J10" s="91"/>
      <c r="K10" s="104" t="s">
        <v>186</v>
      </c>
      <c r="L10" s="96">
        <v>0</v>
      </c>
      <c r="M10" s="91"/>
      <c r="N10" s="91"/>
      <c r="O10" s="91"/>
    </row>
    <row r="11" spans="1:15" ht="14.25" customHeight="1" thickBot="1">
      <c r="A11" s="219" t="s">
        <v>247</v>
      </c>
      <c r="B11" s="220"/>
      <c r="C11" s="220"/>
      <c r="D11" s="220"/>
      <c r="E11" s="102">
        <v>0.95</v>
      </c>
      <c r="F11" s="102"/>
      <c r="G11" s="91"/>
      <c r="H11" s="91"/>
      <c r="I11" s="91"/>
      <c r="J11" s="91"/>
      <c r="K11" s="91"/>
      <c r="L11" s="91" t="s">
        <v>342</v>
      </c>
      <c r="M11" s="91"/>
      <c r="N11" s="91"/>
      <c r="O11" s="91"/>
    </row>
    <row r="12" spans="1:15" ht="64.5" customHeight="1">
      <c r="A12" s="84" t="s">
        <v>165</v>
      </c>
      <c r="B12" s="85" t="s">
        <v>0</v>
      </c>
      <c r="C12" s="85" t="s">
        <v>18</v>
      </c>
      <c r="D12" s="85" t="s">
        <v>367</v>
      </c>
      <c r="E12" s="85" t="s">
        <v>196</v>
      </c>
      <c r="F12" s="85" t="s">
        <v>189</v>
      </c>
      <c r="G12" s="85" t="s">
        <v>191</v>
      </c>
      <c r="H12" s="85" t="s">
        <v>324</v>
      </c>
      <c r="I12" s="86" t="s">
        <v>325</v>
      </c>
      <c r="J12" s="85" t="s">
        <v>183</v>
      </c>
      <c r="K12" s="85" t="s">
        <v>341</v>
      </c>
      <c r="L12" s="85" t="s">
        <v>320</v>
      </c>
      <c r="N12" s="5" t="s">
        <v>322</v>
      </c>
    </row>
    <row r="13" spans="1:15" ht="15.75" customHeight="1">
      <c r="A13" s="78">
        <f ca="1">E3</f>
        <v>1.1310445757250271</v>
      </c>
      <c r="B13" s="83">
        <f ca="1">IF($A13&lt;&gt;"",IF($E$5="pAu",VLOOKUP(A13,pAg!$A$2:$C$47,3),VLOOKUP(A13,pAg!$O$3:$P1203,2)),"")</f>
        <v>0.97509113093181821</v>
      </c>
      <c r="C13" s="83">
        <f ca="1">VLOOKUP(A13,pAg!$A$7:$C$47,3)</f>
        <v>0.99</v>
      </c>
      <c r="D13" s="87">
        <f ca="1">IF($A13&lt;&gt;"",1-VLOOKUP($N13,'AR sim'!$E$10:$F$38,2)*'J129'!$E$10/'AR sim'!$D$42,"")</f>
        <v>0.98762499999999998</v>
      </c>
      <c r="E13" s="208">
        <f ca="1">VLOOKUP($A13,'cycle4 AFTA filters 2'!$A$34:$G$181,'J129'!$I$2)</f>
        <v>0.47952798465973973</v>
      </c>
      <c r="F13" s="87">
        <f>IF($L$10=1, IF($K$10="R",VLOOKUP($A13,dichroic!$F$5:$H$1232,3),VLOOKUP($A13,dichroic!$F$5:$H$1232,2)),1)</f>
        <v>1</v>
      </c>
      <c r="G13" s="83">
        <f ca="1">IF($A13&lt;&gt;"",$B13^$L$4*$D13^(2*($L$5))*$E13*$F13,"")</f>
        <v>0.42270753408909689</v>
      </c>
      <c r="H13" s="83">
        <f ca="1">IF($A13&lt;&gt;"",$B13^$F$5*$C13^$F$6,"")</f>
        <v>0.92256292222460834</v>
      </c>
      <c r="I13" s="83">
        <f t="shared" ref="I13:I54" ca="1" si="0">IF($A13&lt;&gt;"",$D13^(2*($L$5))*$E13,"")</f>
        <v>0.47952798465973973</v>
      </c>
      <c r="J13" s="89">
        <f t="shared" ref="J13:J54" ca="1" si="1">IF($A13&lt;&gt;"",(1-$L$9),"")</f>
        <v>0.98</v>
      </c>
      <c r="K13" s="46">
        <f ca="1">VLOOKUP($A13,'SWIR data'!$A$5:$K$795,11)/100</f>
        <v>0.7463633577761708</v>
      </c>
      <c r="L13" s="90">
        <f t="shared" ref="L13:L54" ca="1" si="2">IF($A13&lt;&gt;"",G13*$K13*$J13*$O$5,"")</f>
        <v>1.0953720632271022</v>
      </c>
      <c r="N13" s="6">
        <f t="shared" ref="N13:N54" ca="1" si="3">($A13-$E$3)/($E$4-$E$3)</f>
        <v>0</v>
      </c>
    </row>
    <row r="14" spans="1:15" ht="15.75" customHeight="1">
      <c r="A14" s="79">
        <f t="shared" ref="A14:A54" ca="1" si="4">IF(A13&lt;&gt;"",IF(A13+$E$9&gt;$E$4,"",A13+$E$9),"")</f>
        <v>1.1389264194583026</v>
      </c>
      <c r="B14" s="83">
        <f ca="1">IF($A14&lt;&gt;"",IF($E$5="pAu",VLOOKUP(A14,pAg!$A$2:$C$47,3),VLOOKUP(A14,pAg!$O$3:$P1204,2)),"")</f>
        <v>0.97518614619545463</v>
      </c>
      <c r="C14" s="83">
        <f ca="1">VLOOKUP(A14,pAg!$A$7:$C$47,3)</f>
        <v>0.99</v>
      </c>
      <c r="D14" s="87">
        <f ca="1">IF($A14&lt;&gt;"",1-VLOOKUP($N14,'AR sim'!$E$10:$F$38,2)*'J129'!$E$10/'AR sim'!$D$42,"")</f>
        <v>0.98762499999999998</v>
      </c>
      <c r="E14" s="88">
        <f ca="1">VLOOKUP($A14,'cycle4 AFTA filters 2'!$A$34:$G$181,'J129'!$I$2)</f>
        <v>0.47952798465973973</v>
      </c>
      <c r="F14" s="87">
        <f>IF($L$10=1, IF($K$10="R",VLOOKUP($A14,dichroic!$F$5:$H$1232,3),VLOOKUP($A14,dichroic!$F$5:$H$1232,2)),1)</f>
        <v>1</v>
      </c>
      <c r="G14" s="83">
        <f t="shared" ref="G14:G54" ca="1" si="5">IF($A14&lt;&gt;"",$B14^$L$4*$D14^(2*($L$5))*$E14*$F14,"")</f>
        <v>0.42291352250686093</v>
      </c>
      <c r="H14" s="83">
        <f t="shared" ref="H14:H54" ca="1" si="6">IF($A14&lt;&gt;"",$B14^$F$5*$C14^$F$6,"")</f>
        <v>0.92274272455749595</v>
      </c>
      <c r="I14" s="83">
        <f t="shared" ca="1" si="0"/>
        <v>0.47952798465973973</v>
      </c>
      <c r="J14" s="89">
        <f t="shared" ca="1" si="1"/>
        <v>0.98</v>
      </c>
      <c r="K14" s="46">
        <f ca="1">VLOOKUP($A14,'SWIR data'!$A$5:$K$795,11)/100</f>
        <v>0.74890535013684656</v>
      </c>
      <c r="L14" s="90">
        <f t="shared" ca="1" si="2"/>
        <v>1.0996383231989351</v>
      </c>
      <c r="N14" s="6">
        <f t="shared" ca="1" si="3"/>
        <v>2.4390243902439157E-2</v>
      </c>
    </row>
    <row r="15" spans="1:15" ht="16.5" customHeight="1">
      <c r="A15" s="79">
        <f t="shared" ca="1" si="4"/>
        <v>1.1468082631915781</v>
      </c>
      <c r="B15" s="83">
        <f ca="1">IF($A15&lt;&gt;"",IF($E$5="pAu",VLOOKUP(A15,pAg!$A$2:$C$47,3),VLOOKUP(A15,pAg!$O$3:$P1205,2)),"")</f>
        <v>0.97522162065909102</v>
      </c>
      <c r="C15" s="83">
        <f ca="1">VLOOKUP(A15,pAg!$A$7:$C$47,3)</f>
        <v>0.99</v>
      </c>
      <c r="D15" s="87">
        <f ca="1">IF($A15&lt;&gt;"",1-VLOOKUP($N15,'AR sim'!$E$10:$F$38,2)*'J129'!$E$10/'AR sim'!$D$42,"")</f>
        <v>0.99027678571428568</v>
      </c>
      <c r="E15" s="88">
        <f ca="1">VLOOKUP($A15,'cycle4 AFTA filters 2'!$A$34:$G$181,'J129'!$I$2)</f>
        <v>0.67551200812280543</v>
      </c>
      <c r="F15" s="87">
        <f>IF($L$10=1, IF($K$10="R",VLOOKUP($A15,dichroic!$F$5:$H$1232,3),VLOOKUP($A15,dichroic!$F$5:$H$1232,2)),1)</f>
        <v>1</v>
      </c>
      <c r="G15" s="83">
        <f t="shared" ca="1" si="5"/>
        <v>0.59586747265221007</v>
      </c>
      <c r="H15" s="83">
        <f t="shared" ca="1" si="6"/>
        <v>0.92280985922452652</v>
      </c>
      <c r="I15" s="83">
        <f t="shared" ca="1" si="0"/>
        <v>0.67551200812280543</v>
      </c>
      <c r="J15" s="89">
        <f t="shared" ca="1" si="1"/>
        <v>0.98</v>
      </c>
      <c r="K15" s="46">
        <f ca="1">VLOOKUP($A15,'SWIR data'!$A$5:$K$795,11)/100</f>
        <v>0.75272405657638741</v>
      </c>
      <c r="L15" s="90">
        <f t="shared" ca="1" si="2"/>
        <v>1.5572446112525886</v>
      </c>
      <c r="N15" s="6">
        <f t="shared" ca="1" si="3"/>
        <v>4.8780487804878314E-2</v>
      </c>
    </row>
    <row r="16" spans="1:15" ht="14.25" customHeight="1">
      <c r="A16" s="79">
        <f t="shared" ca="1" si="4"/>
        <v>1.1546901069248536</v>
      </c>
      <c r="B16" s="83">
        <f ca="1">IF($A16&lt;&gt;"",IF($E$5="pAu",VLOOKUP(A16,pAg!$A$2:$C$47,3),VLOOKUP(A16,pAg!$O$3:$P1206,2)),"")</f>
        <v>0.97528444405454551</v>
      </c>
      <c r="C16" s="83">
        <f ca="1">VLOOKUP(A16,pAg!$A$7:$C$47,3)</f>
        <v>0.99</v>
      </c>
      <c r="D16" s="87">
        <f ca="1">IF($A16&lt;&gt;"",1-VLOOKUP($N16,'AR sim'!$E$10:$F$38,2)*'J129'!$E$10/'AR sim'!$D$42,"")</f>
        <v>0.99292857142857138</v>
      </c>
      <c r="E16" s="88">
        <f ca="1">VLOOKUP($A16,'cycle4 AFTA filters 2'!$A$34:$G$181,'J129'!$I$2)</f>
        <v>0.87149603158587108</v>
      </c>
      <c r="F16" s="87">
        <f>IF($L$10=1, IF($K$10="R",VLOOKUP($A16,dichroic!$F$5:$H$1232,3),VLOOKUP($A16,dichroic!$F$5:$H$1232,2)),1)</f>
        <v>1</v>
      </c>
      <c r="G16" s="83">
        <f t="shared" ca="1" si="5"/>
        <v>0.76899213832377433</v>
      </c>
      <c r="H16" s="83">
        <f t="shared" ca="1" si="6"/>
        <v>0.92292875715463796</v>
      </c>
      <c r="I16" s="83">
        <f t="shared" ca="1" si="0"/>
        <v>0.87149603158587108</v>
      </c>
      <c r="J16" s="89">
        <f t="shared" ca="1" si="1"/>
        <v>0.98</v>
      </c>
      <c r="K16" s="46">
        <f ca="1">VLOOKUP($A16,'SWIR data'!$A$5:$K$795,11)/100</f>
        <v>0.75528211048911198</v>
      </c>
      <c r="L16" s="90">
        <f t="shared" ca="1" si="2"/>
        <v>2.0165196577554378</v>
      </c>
      <c r="N16" s="6">
        <f t="shared" ca="1" si="3"/>
        <v>7.3170731707317471E-2</v>
      </c>
    </row>
    <row r="17" spans="1:14" ht="15">
      <c r="A17" s="79">
        <f t="shared" ca="1" si="4"/>
        <v>1.1625719506581291</v>
      </c>
      <c r="B17" s="83">
        <f ca="1">IF($A17&lt;&gt;"",IF($E$5="pAu",VLOOKUP(A17,pAg!$A$2:$C$47,3),VLOOKUP(A17,pAg!$O$3:$P1207,2)),"")</f>
        <v>0.97536950570000014</v>
      </c>
      <c r="C17" s="83">
        <f ca="1">VLOOKUP(A17,pAg!$A$7:$C$47,3)</f>
        <v>0.99</v>
      </c>
      <c r="D17" s="87">
        <f ca="1">IF($A17&lt;&gt;"",1-VLOOKUP($N17,'AR sim'!$E$10:$F$38,2)*'J129'!$E$10/'AR sim'!$D$42,"")</f>
        <v>0.99292857142857138</v>
      </c>
      <c r="E17" s="88">
        <f ca="1">VLOOKUP($A17,'cycle4 AFTA filters 2'!$A$34:$G$181,'J129'!$I$2)</f>
        <v>0.95</v>
      </c>
      <c r="F17" s="87">
        <f>IF($L$10=1, IF($K$10="R",VLOOKUP($A17,dichroic!$F$5:$H$1232,3),VLOOKUP($A17,dichroic!$F$5:$H$1232,2)),1)</f>
        <v>1</v>
      </c>
      <c r="G17" s="83">
        <f t="shared" ca="1" si="5"/>
        <v>0.8386282210318301</v>
      </c>
      <c r="H17" s="83">
        <f t="shared" ca="1" si="6"/>
        <v>0.92308975482610078</v>
      </c>
      <c r="I17" s="83">
        <f t="shared" ca="1" si="0"/>
        <v>0.95</v>
      </c>
      <c r="J17" s="89">
        <f t="shared" ca="1" si="1"/>
        <v>0.98</v>
      </c>
      <c r="K17" s="46">
        <f ca="1">VLOOKUP($A17,'SWIR data'!$A$5:$K$795,11)/100</f>
        <v>0.75912909620455449</v>
      </c>
      <c r="L17" s="90">
        <f t="shared" ca="1" si="2"/>
        <v>2.210326713306249</v>
      </c>
      <c r="N17" s="6">
        <f t="shared" ca="1" si="3"/>
        <v>9.7560975609756628E-2</v>
      </c>
    </row>
    <row r="18" spans="1:14" ht="15">
      <c r="A18" s="79">
        <f t="shared" ca="1" si="4"/>
        <v>1.1704537943914046</v>
      </c>
      <c r="B18" s="83">
        <f ca="1">IF($A18&lt;&gt;"",IF($E$5="pAu",VLOOKUP(A18,pAg!$A$2:$C$47,3),VLOOKUP(A18,pAg!$O$3:$P1208,2)),"")</f>
        <v>0.97543127439545441</v>
      </c>
      <c r="C18" s="83">
        <f ca="1">VLOOKUP(A18,pAg!$A$7:$C$47,3)</f>
        <v>0.99</v>
      </c>
      <c r="D18" s="87">
        <f ca="1">IF($A18&lt;&gt;"",1-VLOOKUP($N18,'AR sim'!$E$10:$F$38,2)*'J129'!$E$10/'AR sim'!$D$42,"")</f>
        <v>0.99469642857142859</v>
      </c>
      <c r="E18" s="88">
        <f ca="1">VLOOKUP($A18,'cycle4 AFTA filters 2'!$A$34:$G$181,'J129'!$I$2)</f>
        <v>0.95</v>
      </c>
      <c r="F18" s="87">
        <f>IF($L$10=1, IF($K$10="R",VLOOKUP($A18,dichroic!$F$5:$H$1232,3),VLOOKUP($A18,dichroic!$F$5:$H$1232,2)),1)</f>
        <v>1</v>
      </c>
      <c r="G18" s="83">
        <f t="shared" ca="1" si="5"/>
        <v>0.83889380003677894</v>
      </c>
      <c r="H18" s="83">
        <f t="shared" ca="1" si="6"/>
        <v>0.92320667432182757</v>
      </c>
      <c r="I18" s="83">
        <f t="shared" ca="1" si="0"/>
        <v>0.95</v>
      </c>
      <c r="J18" s="89">
        <f t="shared" ca="1" si="1"/>
        <v>0.98</v>
      </c>
      <c r="K18" s="46">
        <f ca="1">VLOOKUP($A18,'SWIR data'!$A$5:$K$795,11)/100</f>
        <v>0.76169484099907092</v>
      </c>
      <c r="L18" s="90">
        <f t="shared" ca="1" si="2"/>
        <v>2.2184996307168747</v>
      </c>
      <c r="N18" s="6">
        <f t="shared" ca="1" si="3"/>
        <v>0.12195121951219579</v>
      </c>
    </row>
    <row r="19" spans="1:14" ht="15">
      <c r="A19" s="79">
        <f t="shared" ca="1" si="4"/>
        <v>1.1783356381246801</v>
      </c>
      <c r="B19" s="83">
        <f ca="1">IF($A19&lt;&gt;"",IF($E$5="pAu",VLOOKUP(A19,pAg!$A$2:$C$47,3),VLOOKUP(A19,pAg!$O$3:$P1209,2)),"")</f>
        <v>0.97552995216363636</v>
      </c>
      <c r="C19" s="83">
        <f ca="1">VLOOKUP(A19,pAg!$A$7:$C$47,3)</f>
        <v>0.99</v>
      </c>
      <c r="D19" s="87">
        <f ca="1">IF($A19&lt;&gt;"",1-VLOOKUP($N19,'AR sim'!$E$10:$F$38,2)*'J129'!$E$10/'AR sim'!$D$42,"")</f>
        <v>0.99646428571428569</v>
      </c>
      <c r="E19" s="88">
        <f ca="1">VLOOKUP($A19,'cycle4 AFTA filters 2'!$A$34:$G$181,'J129'!$I$2)</f>
        <v>0.95</v>
      </c>
      <c r="F19" s="87">
        <f>IF($L$10=1, IF($K$10="R",VLOOKUP($A19,dichroic!$F$5:$H$1232,3),VLOOKUP($A19,dichroic!$F$5:$H$1232,2)),1)</f>
        <v>1</v>
      </c>
      <c r="G19" s="83">
        <f t="shared" ca="1" si="5"/>
        <v>0.83931821188625366</v>
      </c>
      <c r="H19" s="83">
        <f t="shared" ca="1" si="6"/>
        <v>0.92339347288891793</v>
      </c>
      <c r="I19" s="83">
        <f t="shared" ca="1" si="0"/>
        <v>0.95</v>
      </c>
      <c r="J19" s="89">
        <f t="shared" ca="1" si="1"/>
        <v>0.98</v>
      </c>
      <c r="K19" s="46">
        <f ca="1">VLOOKUP($A19,'SWIR data'!$A$5:$K$795,11)/100</f>
        <v>0.7655361839731174</v>
      </c>
      <c r="L19" s="90">
        <f t="shared" ca="1" si="2"/>
        <v>2.2308159021193816</v>
      </c>
      <c r="N19" s="6">
        <f t="shared" ca="1" si="3"/>
        <v>0.14634146341463494</v>
      </c>
    </row>
    <row r="20" spans="1:14" ht="15">
      <c r="A20" s="79">
        <f t="shared" ca="1" si="4"/>
        <v>1.1862174818579556</v>
      </c>
      <c r="B20" s="83">
        <f ca="1">IF($A20&lt;&gt;"",IF($E$5="pAu",VLOOKUP(A20,pAg!$A$2:$C$47,3),VLOOKUP(A20,pAg!$O$3:$P1210,2)),"")</f>
        <v>0.975637271959091</v>
      </c>
      <c r="C20" s="83">
        <f ca="1">VLOOKUP(A20,pAg!$A$7:$C$47,3)</f>
        <v>0.99</v>
      </c>
      <c r="D20" s="87">
        <f ca="1">IF($A20&lt;&gt;"",1-VLOOKUP($N20,'AR sim'!$E$10:$F$38,2)*'J129'!$E$10/'AR sim'!$D$42,"")</f>
        <v>0.99646428571428569</v>
      </c>
      <c r="E20" s="88">
        <f ca="1">VLOOKUP($A20,'cycle4 AFTA filters 2'!$A$34:$G$181,'J129'!$I$2)</f>
        <v>0.95</v>
      </c>
      <c r="F20" s="87">
        <f>IF($L$10=1, IF($K$10="R",VLOOKUP($A20,dichroic!$F$5:$H$1232,3),VLOOKUP($A20,dichroic!$F$5:$H$1232,2)),1)</f>
        <v>1</v>
      </c>
      <c r="G20" s="83">
        <f t="shared" ca="1" si="5"/>
        <v>0.83977998796768671</v>
      </c>
      <c r="H20" s="83">
        <f t="shared" ca="1" si="6"/>
        <v>0.92359665240054811</v>
      </c>
      <c r="I20" s="83">
        <f t="shared" ca="1" si="0"/>
        <v>0.95</v>
      </c>
      <c r="J20" s="89">
        <f t="shared" ca="1" si="1"/>
        <v>0.98</v>
      </c>
      <c r="K20" s="46">
        <f ca="1">VLOOKUP($A20,'SWIR data'!$A$5:$K$795,11)/100</f>
        <v>0.76810089150170091</v>
      </c>
      <c r="L20" s="90">
        <f t="shared" ca="1" si="2"/>
        <v>2.2395210676067179</v>
      </c>
      <c r="N20" s="6">
        <f t="shared" ca="1" si="3"/>
        <v>0.1707317073170741</v>
      </c>
    </row>
    <row r="21" spans="1:14" ht="15">
      <c r="A21" s="79">
        <f t="shared" ca="1" si="4"/>
        <v>1.1940993255912311</v>
      </c>
      <c r="B21" s="83">
        <f ca="1">IF($A21&lt;&gt;"",IF($E$5="pAu",VLOOKUP(A21,pAg!$A$2:$C$47,3),VLOOKUP(A21,pAg!$O$3:$P1211,2)),"")</f>
        <v>0.97575173766363621</v>
      </c>
      <c r="C21" s="83">
        <f ca="1">VLOOKUP(A21,pAg!$A$7:$C$47,3)</f>
        <v>0.99</v>
      </c>
      <c r="D21" s="87">
        <f ca="1">IF($A21&lt;&gt;"",1-VLOOKUP($N21,'AR sim'!$E$10:$F$38,2)*'J129'!$E$10/'AR sim'!$D$42,"")</f>
        <v>0.99668526785714284</v>
      </c>
      <c r="E21" s="88">
        <f ca="1">VLOOKUP($A21,'cycle4 AFTA filters 2'!$A$34:$G$181,'J129'!$I$2)</f>
        <v>0.95</v>
      </c>
      <c r="F21" s="87">
        <f>IF($L$10=1, IF($K$10="R",VLOOKUP($A21,dichroic!$F$5:$H$1232,3),VLOOKUP($A21,dichroic!$F$5:$H$1232,2)),1)</f>
        <v>1</v>
      </c>
      <c r="G21" s="83">
        <f t="shared" ca="1" si="5"/>
        <v>0.84027273547323256</v>
      </c>
      <c r="H21" s="83">
        <f t="shared" ca="1" si="6"/>
        <v>0.92381338529160983</v>
      </c>
      <c r="I21" s="83">
        <f t="shared" ca="1" si="0"/>
        <v>0.95</v>
      </c>
      <c r="J21" s="89">
        <f t="shared" ca="1" si="1"/>
        <v>0.98</v>
      </c>
      <c r="K21" s="46">
        <f ca="1">VLOOKUP($A21,'SWIR data'!$A$5:$K$795,11)/100</f>
        <v>0.77193658994704117</v>
      </c>
      <c r="L21" s="90">
        <f t="shared" ca="1" si="2"/>
        <v>2.2520252788888979</v>
      </c>
      <c r="N21" s="6">
        <f t="shared" ca="1" si="3"/>
        <v>0.19512195121951326</v>
      </c>
    </row>
    <row r="22" spans="1:14" ht="15">
      <c r="A22" s="79">
        <f t="shared" ca="1" si="4"/>
        <v>1.2019811693245066</v>
      </c>
      <c r="B22" s="83">
        <f ca="1">IF($A22&lt;&gt;"",IF($E$5="pAu",VLOOKUP(A22,pAg!$A$2:$C$47,3),VLOOKUP(A22,pAg!$O$3:$P1212,2)),"")</f>
        <v>0.97580936082727265</v>
      </c>
      <c r="C22" s="83">
        <f ca="1">VLOOKUP(A22,pAg!$A$7:$C$47,3)</f>
        <v>0.99</v>
      </c>
      <c r="D22" s="87">
        <f ca="1">IF($A22&lt;&gt;"",1-VLOOKUP($N22,'AR sim'!$E$10:$F$38,2)*'J129'!$E$10/'AR sim'!$D$42,"")</f>
        <v>0.99690624999999999</v>
      </c>
      <c r="E22" s="88">
        <f ca="1">VLOOKUP($A22,'cycle4 AFTA filters 2'!$A$34:$G$181,'J129'!$I$2)</f>
        <v>0.95</v>
      </c>
      <c r="F22" s="87">
        <f>IF($L$10=1, IF($K$10="R",VLOOKUP($A22,dichroic!$F$5:$H$1232,3),VLOOKUP($A22,dichroic!$F$5:$H$1232,2)),1)</f>
        <v>1</v>
      </c>
      <c r="G22" s="83">
        <f t="shared" ca="1" si="5"/>
        <v>0.84052087693487132</v>
      </c>
      <c r="H22" s="83">
        <f t="shared" ca="1" si="6"/>
        <v>0.92392250038648116</v>
      </c>
      <c r="I22" s="83">
        <f t="shared" ca="1" si="0"/>
        <v>0.95</v>
      </c>
      <c r="J22" s="89">
        <f t="shared" ca="1" si="1"/>
        <v>0.98</v>
      </c>
      <c r="K22" s="46">
        <f ca="1">VLOOKUP($A22,'SWIR data'!$A$5:$K$795,11)/100</f>
        <v>0.77448320551921113</v>
      </c>
      <c r="L22" s="90">
        <f t="shared" ca="1" si="2"/>
        <v>2.2601219418036145</v>
      </c>
      <c r="N22" s="6">
        <f t="shared" ca="1" si="3"/>
        <v>0.21951219512195241</v>
      </c>
    </row>
    <row r="23" spans="1:14" ht="15">
      <c r="A23" s="79">
        <f t="shared" ca="1" si="4"/>
        <v>1.2098630130577821</v>
      </c>
      <c r="B23" s="83">
        <f ca="1">IF($A23&lt;&gt;"",IF($E$5="pAu",VLOOKUP(A23,pAg!$A$2:$C$47,3),VLOOKUP(A23,pAg!$O$3:$P1213,2)),"")</f>
        <v>0.97585963908181805</v>
      </c>
      <c r="C23" s="83">
        <f ca="1">VLOOKUP(A23,pAg!$A$7:$C$47,3)</f>
        <v>0.99</v>
      </c>
      <c r="D23" s="87">
        <f ca="1">IF($A23&lt;&gt;"",1-VLOOKUP($N23,'AR sim'!$E$10:$F$38,2)*'J129'!$E$10/'AR sim'!$D$42,"")</f>
        <v>0.99690624999999999</v>
      </c>
      <c r="E23" s="88">
        <f ca="1">VLOOKUP($A23,'cycle4 AFTA filters 2'!$A$34:$G$181,'J129'!$I$2)</f>
        <v>0.95</v>
      </c>
      <c r="F23" s="87">
        <f>IF($L$10=1, IF($K$10="R",VLOOKUP($A23,dichroic!$F$5:$H$1232,3),VLOOKUP($A23,dichroic!$F$5:$H$1232,2)),1)</f>
        <v>1</v>
      </c>
      <c r="G23" s="83">
        <f t="shared" ca="1" si="5"/>
        <v>0.84073743705091109</v>
      </c>
      <c r="H23" s="83">
        <f t="shared" ca="1" si="6"/>
        <v>0.92401771244175068</v>
      </c>
      <c r="I23" s="83">
        <f t="shared" ca="1" si="0"/>
        <v>0.95</v>
      </c>
      <c r="J23" s="89">
        <f t="shared" ca="1" si="1"/>
        <v>0.98</v>
      </c>
      <c r="K23" s="46">
        <f ca="1">VLOOKUP($A23,'SWIR data'!$A$5:$K$795,11)/100</f>
        <v>0.77828738181457813</v>
      </c>
      <c r="L23" s="90">
        <f t="shared" ca="1" si="2"/>
        <v>2.2718085925933629</v>
      </c>
      <c r="N23" s="6">
        <f t="shared" ca="1" si="3"/>
        <v>0.24390243902439157</v>
      </c>
    </row>
    <row r="24" spans="1:14" ht="15">
      <c r="A24" s="79">
        <f t="shared" ca="1" si="4"/>
        <v>1.2177448567910576</v>
      </c>
      <c r="B24" s="83">
        <f ca="1">IF($A24&lt;&gt;"",IF($E$5="pAu",VLOOKUP(A24,pAg!$A$2:$C$47,3),VLOOKUP(A24,pAg!$O$3:$P1214,2)),"")</f>
        <v>0.97597484741818197</v>
      </c>
      <c r="C24" s="83">
        <f ca="1">VLOOKUP(A24,pAg!$A$7:$C$47,3)</f>
        <v>0.99</v>
      </c>
      <c r="D24" s="87">
        <f ca="1">IF($A24&lt;&gt;"",1-VLOOKUP($N24,'AR sim'!$E$10:$F$38,2)*'J129'!$E$10/'AR sim'!$D$42,"")</f>
        <v>0.99712723214285715</v>
      </c>
      <c r="E24" s="88">
        <f ca="1">VLOOKUP($A24,'cycle4 AFTA filters 2'!$A$34:$G$181,'J129'!$I$2)</f>
        <v>0.95</v>
      </c>
      <c r="F24" s="87">
        <f>IF($L$10=1, IF($K$10="R",VLOOKUP($A24,dichroic!$F$5:$H$1232,3),VLOOKUP($A24,dichroic!$F$5:$H$1232,2)),1)</f>
        <v>1</v>
      </c>
      <c r="G24" s="83">
        <f t="shared" ca="1" si="5"/>
        <v>0.841233834434857</v>
      </c>
      <c r="H24" s="83">
        <f t="shared" ca="1" si="6"/>
        <v>0.9242359012530903</v>
      </c>
      <c r="I24" s="83">
        <f t="shared" ca="1" si="0"/>
        <v>0.95</v>
      </c>
      <c r="J24" s="89">
        <f t="shared" ca="1" si="1"/>
        <v>0.98</v>
      </c>
      <c r="K24" s="46">
        <f ca="1">VLOOKUP($A24,'SWIR data'!$A$5:$K$795,11)/100</f>
        <v>0.78081575547141358</v>
      </c>
      <c r="L24" s="90">
        <f t="shared" ca="1" si="2"/>
        <v>2.2805345790203919</v>
      </c>
      <c r="N24" s="6">
        <f t="shared" ca="1" si="3"/>
        <v>0.26829268292683073</v>
      </c>
    </row>
    <row r="25" spans="1:14" ht="15">
      <c r="A25" s="79">
        <f t="shared" ca="1" si="4"/>
        <v>1.2256267005243331</v>
      </c>
      <c r="B25" s="83">
        <f ca="1">IF($A25&lt;&gt;"",IF($E$5="pAu",VLOOKUP(A25,pAg!$A$2:$C$47,3),VLOOKUP(A25,pAg!$O$3:$P1215,2)),"")</f>
        <v>0.97608377097272736</v>
      </c>
      <c r="C25" s="83">
        <f ca="1">VLOOKUP(A25,pAg!$A$7:$C$47,3)</f>
        <v>0.99</v>
      </c>
      <c r="D25" s="87">
        <f ca="1">IF($A25&lt;&gt;"",1-VLOOKUP($N25,'AR sim'!$E$10:$F$38,2)*'J129'!$E$10/'AR sim'!$D$42,"")</f>
        <v>0.9973482142857143</v>
      </c>
      <c r="E25" s="88">
        <f ca="1">VLOOKUP($A25,'cycle4 AFTA filters 2'!$A$34:$G$181,'J129'!$I$2)</f>
        <v>0.95</v>
      </c>
      <c r="F25" s="87">
        <f>IF($L$10=1, IF($K$10="R",VLOOKUP($A25,dichroic!$F$5:$H$1232,3),VLOOKUP($A25,dichroic!$F$5:$H$1232,2)),1)</f>
        <v>1</v>
      </c>
      <c r="G25" s="83">
        <f t="shared" ca="1" si="5"/>
        <v>0.84170336822830383</v>
      </c>
      <c r="H25" s="83">
        <f t="shared" ca="1" si="6"/>
        <v>0.92444221123650827</v>
      </c>
      <c r="I25" s="83">
        <f t="shared" ca="1" si="0"/>
        <v>0.95</v>
      </c>
      <c r="J25" s="89">
        <f t="shared" ca="1" si="1"/>
        <v>0.98</v>
      </c>
      <c r="K25" s="46">
        <f ca="1">VLOOKUP($A25,'SWIR data'!$A$5:$K$795,11)/100</f>
        <v>0.78458816837424306</v>
      </c>
      <c r="L25" s="90">
        <f t="shared" ca="1" si="2"/>
        <v>2.2928317221467371</v>
      </c>
      <c r="N25" s="6">
        <f t="shared" ca="1" si="3"/>
        <v>0.29268292682926988</v>
      </c>
    </row>
    <row r="26" spans="1:14" ht="15">
      <c r="A26" s="79">
        <f t="shared" ca="1" si="4"/>
        <v>1.2335085442576086</v>
      </c>
      <c r="B26" s="83">
        <f ca="1">IF($A26&lt;&gt;"",IF($E$5="pAu",VLOOKUP(A26,pAg!$A$2:$C$47,3),VLOOKUP(A26,pAg!$O$3:$P1216,2)),"")</f>
        <v>0.97620418134999998</v>
      </c>
      <c r="C26" s="83">
        <f ca="1">VLOOKUP(A26,pAg!$A$7:$C$47,3)</f>
        <v>0.99</v>
      </c>
      <c r="D26" s="87">
        <f ca="1">IF($A26&lt;&gt;"",1-VLOOKUP($N26,'AR sim'!$E$10:$F$38,2)*'J129'!$E$10/'AR sim'!$D$42,"")</f>
        <v>0.9973482142857143</v>
      </c>
      <c r="E26" s="88">
        <f ca="1">VLOOKUP($A26,'cycle4 AFTA filters 2'!$A$34:$G$181,'J129'!$I$2)</f>
        <v>0.95</v>
      </c>
      <c r="F26" s="87">
        <f>IF($L$10=1, IF($K$10="R",VLOOKUP($A26,dichroic!$F$5:$H$1232,3),VLOOKUP($A26,dichroic!$F$5:$H$1232,2)),1)</f>
        <v>1</v>
      </c>
      <c r="G26" s="83">
        <f t="shared" ca="1" si="5"/>
        <v>0.84222266191696604</v>
      </c>
      <c r="H26" s="83">
        <f t="shared" ca="1" si="6"/>
        <v>0.92467030498116876</v>
      </c>
      <c r="I26" s="83">
        <f t="shared" ca="1" si="0"/>
        <v>0.95</v>
      </c>
      <c r="J26" s="89">
        <f t="shared" ca="1" si="1"/>
        <v>0.98</v>
      </c>
      <c r="K26" s="46">
        <f ca="1">VLOOKUP($A26,'SWIR data'!$A$5:$K$795,11)/100</f>
        <v>0.7870809902725856</v>
      </c>
      <c r="L26" s="90">
        <f t="shared" ca="1" si="2"/>
        <v>2.3015356600356291</v>
      </c>
      <c r="N26" s="6">
        <f t="shared" ca="1" si="3"/>
        <v>0.31707317073170904</v>
      </c>
    </row>
    <row r="27" spans="1:14" ht="15">
      <c r="A27" s="79">
        <f t="shared" ca="1" si="4"/>
        <v>1.2413903879908841</v>
      </c>
      <c r="B27" s="83">
        <f ca="1">IF($A27&lt;&gt;"",IF($E$5="pAu",VLOOKUP(A27,pAg!$A$2:$C$47,3),VLOOKUP(A27,pAg!$O$3:$P1217,2)),"")</f>
        <v>0.97630360627272728</v>
      </c>
      <c r="C27" s="83">
        <f ca="1">VLOOKUP(A27,pAg!$A$7:$C$47,3)</f>
        <v>0.99</v>
      </c>
      <c r="D27" s="87">
        <f ca="1">IF($A27&lt;&gt;"",1-VLOOKUP($N27,'AR sim'!$E$10:$F$38,2)*'J129'!$E$10/'AR sim'!$D$42,"")</f>
        <v>0.99690624999999999</v>
      </c>
      <c r="E27" s="88">
        <f ca="1">VLOOKUP($A27,'cycle4 AFTA filters 2'!$A$34:$G$181,'J129'!$I$2)</f>
        <v>0.95</v>
      </c>
      <c r="F27" s="87">
        <f>IF($L$10=1, IF($K$10="R",VLOOKUP($A27,dichroic!$F$5:$H$1232,3),VLOOKUP($A27,dichroic!$F$5:$H$1232,2)),1)</f>
        <v>1</v>
      </c>
      <c r="G27" s="83">
        <f t="shared" ca="1" si="5"/>
        <v>0.84265164482638155</v>
      </c>
      <c r="H27" s="83">
        <f t="shared" ca="1" si="6"/>
        <v>0.92485866712325315</v>
      </c>
      <c r="I27" s="83">
        <f t="shared" ca="1" si="0"/>
        <v>0.95</v>
      </c>
      <c r="J27" s="89">
        <f t="shared" ca="1" si="1"/>
        <v>0.98</v>
      </c>
      <c r="K27" s="46">
        <f ca="1">VLOOKUP($A27,'SWIR data'!$A$5:$K$795,11)/100</f>
        <v>0.79080410469538309</v>
      </c>
      <c r="L27" s="90">
        <f t="shared" ca="1" si="2"/>
        <v>2.3136003945745456</v>
      </c>
      <c r="N27" s="6">
        <f t="shared" ca="1" si="3"/>
        <v>0.3414634146341482</v>
      </c>
    </row>
    <row r="28" spans="1:14" ht="15">
      <c r="A28" s="79">
        <f t="shared" ca="1" si="4"/>
        <v>1.2492722317241596</v>
      </c>
      <c r="B28" s="83">
        <f ca="1">IF($A28&lt;&gt;"",IF($E$5="pAu",VLOOKUP(A28,pAg!$A$2:$C$47,3),VLOOKUP(A28,pAg!$O$3:$P1218,2)),"")</f>
        <v>0.97639677807272729</v>
      </c>
      <c r="C28" s="83">
        <f ca="1">VLOOKUP(A28,pAg!$A$7:$C$47,3)</f>
        <v>0.99</v>
      </c>
      <c r="D28" s="87">
        <f ca="1">IF($A28&lt;&gt;"",1-VLOOKUP($N28,'AR sim'!$E$10:$F$38,2)*'J129'!$E$10/'AR sim'!$D$42,"")</f>
        <v>0.99646428571428569</v>
      </c>
      <c r="E28" s="88">
        <f ca="1">VLOOKUP($A28,'cycle4 AFTA filters 2'!$A$34:$G$181,'J129'!$I$2)</f>
        <v>0.95</v>
      </c>
      <c r="F28" s="87">
        <f>IF($L$10=1, IF($K$10="R",VLOOKUP($A28,dichroic!$F$5:$H$1232,3),VLOOKUP($A28,dichroic!$F$5:$H$1232,2)),1)</f>
        <v>1</v>
      </c>
      <c r="G28" s="83">
        <f t="shared" ca="1" si="5"/>
        <v>0.84305380639084437</v>
      </c>
      <c r="H28" s="83">
        <f t="shared" ca="1" si="6"/>
        <v>0.92503520003367945</v>
      </c>
      <c r="I28" s="83">
        <f t="shared" ca="1" si="0"/>
        <v>0.95</v>
      </c>
      <c r="J28" s="89">
        <f t="shared" ca="1" si="1"/>
        <v>0.98</v>
      </c>
      <c r="K28" s="46">
        <f ca="1">VLOOKUP($A28,'SWIR data'!$A$5:$K$795,11)/100</f>
        <v>0.79326113337427673</v>
      </c>
      <c r="L28" s="90">
        <f t="shared" ca="1" si="2"/>
        <v>2.3218963650943003</v>
      </c>
      <c r="N28" s="6">
        <f t="shared" ca="1" si="3"/>
        <v>0.36585365853658736</v>
      </c>
    </row>
    <row r="29" spans="1:14" ht="15">
      <c r="A29" s="79">
        <f t="shared" ca="1" si="4"/>
        <v>1.2571540754574351</v>
      </c>
      <c r="B29" s="83">
        <f ca="1">IF($A29&lt;&gt;"",IF($E$5="pAu",VLOOKUP(A29,pAg!$A$2:$C$47,3),VLOOKUP(A29,pAg!$O$3:$P1219,2)),"")</f>
        <v>0.97651891974999994</v>
      </c>
      <c r="C29" s="83">
        <f ca="1">VLOOKUP(A29,pAg!$A$7:$C$47,3)</f>
        <v>0.99</v>
      </c>
      <c r="D29" s="87">
        <f ca="1">IF($A29&lt;&gt;"",1-VLOOKUP($N29,'AR sim'!$E$10:$F$38,2)*'J129'!$E$10/'AR sim'!$D$42,"")</f>
        <v>0.99646428571428569</v>
      </c>
      <c r="E29" s="88">
        <f ca="1">VLOOKUP($A29,'cycle4 AFTA filters 2'!$A$34:$G$181,'J129'!$I$2)</f>
        <v>0.95</v>
      </c>
      <c r="F29" s="87">
        <f>IF($L$10=1, IF($K$10="R",VLOOKUP($A29,dichroic!$F$5:$H$1232,3),VLOOKUP($A29,dichroic!$F$5:$H$1232,2)),1)</f>
        <v>1</v>
      </c>
      <c r="G29" s="83">
        <f t="shared" ca="1" si="5"/>
        <v>0.84358124448723582</v>
      </c>
      <c r="H29" s="83">
        <f t="shared" ca="1" si="6"/>
        <v>0.9252666477818039</v>
      </c>
      <c r="I29" s="83">
        <f t="shared" ca="1" si="0"/>
        <v>0.95</v>
      </c>
      <c r="J29" s="89">
        <f t="shared" ca="1" si="1"/>
        <v>0.98</v>
      </c>
      <c r="K29" s="46">
        <f ca="1">VLOOKUP($A29,'SWIR data'!$A$5:$K$795,11)/100</f>
        <v>0.79691758105820343</v>
      </c>
      <c r="L29" s="90">
        <f t="shared" ca="1" si="2"/>
        <v>2.33405822364676</v>
      </c>
      <c r="N29" s="6">
        <f t="shared" ca="1" si="3"/>
        <v>0.39024390243902651</v>
      </c>
    </row>
    <row r="30" spans="1:14" ht="15">
      <c r="A30" s="79">
        <f t="shared" ca="1" si="4"/>
        <v>1.2650359191907106</v>
      </c>
      <c r="B30" s="83">
        <f ca="1">IF($A30&lt;&gt;"",IF($E$5="pAu",VLOOKUP(A30,pAg!$A$2:$C$47,3),VLOOKUP(A30,pAg!$O$3:$P1220,2)),"")</f>
        <v>0.97662333414545444</v>
      </c>
      <c r="C30" s="83">
        <f ca="1">VLOOKUP(A30,pAg!$A$7:$C$47,3)</f>
        <v>0.99</v>
      </c>
      <c r="D30" s="87">
        <f ca="1">IF($A30&lt;&gt;"",1-VLOOKUP($N30,'AR sim'!$E$10:$F$38,2)*'J129'!$E$10/'AR sim'!$D$42,"")</f>
        <v>0.99602232142857139</v>
      </c>
      <c r="E30" s="88">
        <f ca="1">VLOOKUP($A30,'cycle4 AFTA filters 2'!$A$34:$G$181,'J129'!$I$2)</f>
        <v>0.95</v>
      </c>
      <c r="F30" s="87">
        <f>IF($L$10=1, IF($K$10="R",VLOOKUP($A30,dichroic!$F$5:$H$1232,3),VLOOKUP($A30,dichroic!$F$5:$H$1232,2)),1)</f>
        <v>1</v>
      </c>
      <c r="G30" s="83">
        <f t="shared" ca="1" si="5"/>
        <v>0.84403234104180969</v>
      </c>
      <c r="H30" s="83">
        <f t="shared" ca="1" si="6"/>
        <v>0.92546452684136482</v>
      </c>
      <c r="I30" s="83">
        <f t="shared" ca="1" si="0"/>
        <v>0.95</v>
      </c>
      <c r="J30" s="89">
        <f t="shared" ca="1" si="1"/>
        <v>0.98</v>
      </c>
      <c r="K30" s="46">
        <f ca="1">VLOOKUP($A30,'SWIR data'!$A$5:$K$795,11)/100</f>
        <v>0.79933856246723067</v>
      </c>
      <c r="L30" s="90">
        <f t="shared" ca="1" si="2"/>
        <v>2.3424008395381284</v>
      </c>
      <c r="N30" s="6">
        <f t="shared" ca="1" si="3"/>
        <v>0.41463414634146567</v>
      </c>
    </row>
    <row r="31" spans="1:14" ht="15">
      <c r="A31" s="79">
        <f t="shared" ca="1" si="4"/>
        <v>1.2729177629239861</v>
      </c>
      <c r="B31" s="83">
        <f ca="1">IF($A31&lt;&gt;"",IF($E$5="pAu",VLOOKUP(A31,pAg!$A$2:$C$47,3),VLOOKUP(A31,pAg!$O$3:$P1221,2)),"")</f>
        <v>0.97675877897272745</v>
      </c>
      <c r="C31" s="83">
        <f ca="1">VLOOKUP(A31,pAg!$A$7:$C$47,3)</f>
        <v>0.99</v>
      </c>
      <c r="D31" s="87">
        <f ca="1">IF($A31&lt;&gt;"",1-VLOOKUP($N31,'AR sim'!$E$10:$F$38,2)*'J129'!$E$10/'AR sim'!$D$42,"")</f>
        <v>0.9955803571428572</v>
      </c>
      <c r="E31" s="88">
        <f ca="1">VLOOKUP($A31,'cycle4 AFTA filters 2'!$A$34:$G$181,'J129'!$I$2)</f>
        <v>0.95</v>
      </c>
      <c r="F31" s="87">
        <f>IF($L$10=1, IF($K$10="R",VLOOKUP($A31,dichroic!$F$5:$H$1232,3),VLOOKUP($A31,dichroic!$F$5:$H$1232,2)),1)</f>
        <v>1</v>
      </c>
      <c r="G31" s="83">
        <f t="shared" ca="1" si="5"/>
        <v>0.84461778439728896</v>
      </c>
      <c r="H31" s="83">
        <f t="shared" ca="1" si="6"/>
        <v>0.92572124418726232</v>
      </c>
      <c r="I31" s="83">
        <f t="shared" ca="1" si="0"/>
        <v>0.95</v>
      </c>
      <c r="J31" s="89">
        <f t="shared" ca="1" si="1"/>
        <v>0.98</v>
      </c>
      <c r="K31" s="46">
        <f ca="1">VLOOKUP($A31,'SWIR data'!$A$5:$K$795,11)/100</f>
        <v>0.80292781858696771</v>
      </c>
      <c r="L31" s="90">
        <f t="shared" ca="1" si="2"/>
        <v>2.3545509288339161</v>
      </c>
      <c r="N31" s="6">
        <f t="shared" ca="1" si="3"/>
        <v>0.43902439024390483</v>
      </c>
    </row>
    <row r="32" spans="1:14" ht="15">
      <c r="A32" s="79">
        <f t="shared" ca="1" si="4"/>
        <v>1.2807996066572616</v>
      </c>
      <c r="B32" s="83">
        <f ca="1">IF($A32&lt;&gt;"",IF($E$5="pAu",VLOOKUP(A32,pAg!$A$2:$C$47,3),VLOOKUP(A32,pAg!$O$3:$P1222,2)),"")</f>
        <v>0.97686503502272726</v>
      </c>
      <c r="C32" s="83">
        <f ca="1">VLOOKUP(A32,pAg!$A$7:$C$47,3)</f>
        <v>0.99</v>
      </c>
      <c r="D32" s="87">
        <f ca="1">IF($A32&lt;&gt;"",1-VLOOKUP($N32,'AR sim'!$E$10:$F$38,2)*'J129'!$E$10/'AR sim'!$D$42,"")</f>
        <v>0.9955803571428572</v>
      </c>
      <c r="E32" s="88">
        <f ca="1">VLOOKUP($A32,'cycle4 AFTA filters 2'!$A$34:$G$181,'J129'!$I$2)</f>
        <v>0.95</v>
      </c>
      <c r="F32" s="87">
        <f>IF($L$10=1, IF($K$10="R",VLOOKUP($A32,dichroic!$F$5:$H$1232,3),VLOOKUP($A32,dichroic!$F$5:$H$1232,2)),1)</f>
        <v>1</v>
      </c>
      <c r="G32" s="83">
        <f t="shared" ca="1" si="5"/>
        <v>0.84507729026224199</v>
      </c>
      <c r="H32" s="83">
        <f t="shared" ca="1" si="6"/>
        <v>0.92592266307415383</v>
      </c>
      <c r="I32" s="83">
        <f t="shared" ca="1" si="0"/>
        <v>0.95</v>
      </c>
      <c r="J32" s="89">
        <f t="shared" ca="1" si="1"/>
        <v>0.98</v>
      </c>
      <c r="K32" s="46">
        <f ca="1">VLOOKUP($A32,'SWIR data'!$A$5:$K$795,11)/100</f>
        <v>0.80529524076549919</v>
      </c>
      <c r="L32" s="90">
        <f t="shared" ca="1" si="2"/>
        <v>2.3627780382984591</v>
      </c>
      <c r="N32" s="6">
        <f t="shared" ca="1" si="3"/>
        <v>0.46341463414634398</v>
      </c>
    </row>
    <row r="33" spans="1:14" ht="15">
      <c r="A33" s="79">
        <f t="shared" ca="1" si="4"/>
        <v>1.2886814503905371</v>
      </c>
      <c r="B33" s="83">
        <f ca="1">IF($A33&lt;&gt;"",IF($E$5="pAu",VLOOKUP(A33,pAg!$A$2:$C$47,3),VLOOKUP(A33,pAg!$O$3:$P1223,2)),"")</f>
        <v>0.97695992455454539</v>
      </c>
      <c r="C33" s="83">
        <f ca="1">VLOOKUP(A33,pAg!$A$7:$C$47,3)</f>
        <v>0.99</v>
      </c>
      <c r="D33" s="87">
        <f ca="1">IF($A33&lt;&gt;"",1-VLOOKUP($N33,'AR sim'!$E$10:$F$38,2)*'J129'!$E$10/'AR sim'!$D$42,"")</f>
        <v>0.99513839285714289</v>
      </c>
      <c r="E33" s="88">
        <f ca="1">VLOOKUP($A33,'cycle4 AFTA filters 2'!$A$34:$G$181,'J129'!$I$2)</f>
        <v>0.95</v>
      </c>
      <c r="F33" s="87">
        <f>IF($L$10=1, IF($K$10="R",VLOOKUP($A33,dichroic!$F$5:$H$1232,3),VLOOKUP($A33,dichroic!$F$5:$H$1232,2)),1)</f>
        <v>1</v>
      </c>
      <c r="G33" s="83">
        <f t="shared" ca="1" si="5"/>
        <v>0.84548781047569266</v>
      </c>
      <c r="H33" s="83">
        <f t="shared" ca="1" si="6"/>
        <v>0.92610255411761577</v>
      </c>
      <c r="I33" s="83">
        <f t="shared" ca="1" si="0"/>
        <v>0.95</v>
      </c>
      <c r="J33" s="89">
        <f t="shared" ca="1" si="1"/>
        <v>0.98</v>
      </c>
      <c r="K33" s="46">
        <f ca="1">VLOOKUP($A33,'SWIR data'!$A$5:$K$795,11)/100</f>
        <v>0.80881685543604265</v>
      </c>
      <c r="L33" s="90">
        <f t="shared" ca="1" si="2"/>
        <v>2.3742634442075388</v>
      </c>
      <c r="N33" s="6">
        <f t="shared" ca="1" si="3"/>
        <v>0.48780487804878314</v>
      </c>
    </row>
    <row r="34" spans="1:14" ht="15">
      <c r="A34" s="79">
        <f t="shared" ca="1" si="4"/>
        <v>1.2965632941238125</v>
      </c>
      <c r="B34" s="83">
        <f ca="1">IF($A34&lt;&gt;"",IF($E$5="pAu",VLOOKUP(A34,pAg!$A$2:$C$47,3),VLOOKUP(A34,pAg!$O$3:$P1224,2)),"")</f>
        <v>0.9770544884500002</v>
      </c>
      <c r="C34" s="83">
        <f ca="1">VLOOKUP(A34,pAg!$A$7:$C$47,3)</f>
        <v>0.99</v>
      </c>
      <c r="D34" s="87">
        <f ca="1">IF($A34&lt;&gt;"",1-VLOOKUP($N34,'AR sim'!$E$10:$F$38,2)*'J129'!$E$10/'AR sim'!$D$42,"")</f>
        <v>0.99469642857142859</v>
      </c>
      <c r="E34" s="88">
        <f ca="1">VLOOKUP($A34,'cycle4 AFTA filters 2'!$A$34:$G$181,'J129'!$I$2)</f>
        <v>0.95</v>
      </c>
      <c r="F34" s="87">
        <f>IF($L$10=1, IF($K$10="R",VLOOKUP($A34,dichroic!$F$5:$H$1232,3),VLOOKUP($A34,dichroic!$F$5:$H$1232,2)),1)</f>
        <v>1</v>
      </c>
      <c r="G34" s="83">
        <f t="shared" ca="1" si="5"/>
        <v>0.8458970805914896</v>
      </c>
      <c r="H34" s="83">
        <f t="shared" ca="1" si="6"/>
        <v>0.92628184520482937</v>
      </c>
      <c r="I34" s="83">
        <f t="shared" ca="1" si="0"/>
        <v>0.95</v>
      </c>
      <c r="J34" s="89">
        <f t="shared" ca="1" si="1"/>
        <v>0.98</v>
      </c>
      <c r="K34" s="46">
        <f ca="1">VLOOKUP($A34,'SWIR data'!$A$5:$K$795,11)/100</f>
        <v>0.81113038586611286</v>
      </c>
      <c r="L34" s="90">
        <f t="shared" ca="1" si="2"/>
        <v>2.3822073426758434</v>
      </c>
      <c r="N34" s="6">
        <f t="shared" ca="1" si="3"/>
        <v>0.5121951219512223</v>
      </c>
    </row>
    <row r="35" spans="1:14" ht="15">
      <c r="A35" s="79">
        <f t="shared" ca="1" si="4"/>
        <v>1.304445137857088</v>
      </c>
      <c r="B35" s="83">
        <f ca="1">IF($A35&lt;&gt;"",IF($E$5="pAu",VLOOKUP(A35,pAg!$A$2:$C$47,3),VLOOKUP(A35,pAg!$O$3:$P1225,2)),"")</f>
        <v>0.97716396739545464</v>
      </c>
      <c r="C35" s="83">
        <f ca="1">VLOOKUP(A35,pAg!$A$7:$C$47,3)</f>
        <v>0.99</v>
      </c>
      <c r="D35" s="87">
        <f ca="1">IF($A35&lt;&gt;"",1-VLOOKUP($N35,'AR sim'!$E$10:$F$38,2)*'J129'!$E$10/'AR sim'!$D$42,"")</f>
        <v>0.99513839285714289</v>
      </c>
      <c r="E35" s="88">
        <f ca="1">VLOOKUP($A35,'cycle4 AFTA filters 2'!$A$34:$G$181,'J129'!$I$2)</f>
        <v>0.95</v>
      </c>
      <c r="F35" s="87">
        <f>IF($L$10=1, IF($K$10="R",VLOOKUP($A35,dichroic!$F$5:$H$1232,3),VLOOKUP($A35,dichroic!$F$5:$H$1232,2)),1)</f>
        <v>1</v>
      </c>
      <c r="G35" s="83">
        <f t="shared" ca="1" si="5"/>
        <v>0.84637110060367826</v>
      </c>
      <c r="H35" s="83">
        <f t="shared" ca="1" si="6"/>
        <v>0.92648943657707794</v>
      </c>
      <c r="I35" s="83">
        <f t="shared" ca="1" si="0"/>
        <v>0.95</v>
      </c>
      <c r="J35" s="89">
        <f t="shared" ca="1" si="1"/>
        <v>0.98</v>
      </c>
      <c r="K35" s="46">
        <f ca="1">VLOOKUP($A35,'SWIR data'!$A$5:$K$795,11)/100</f>
        <v>0.81455784748516269</v>
      </c>
      <c r="L35" s="90">
        <f t="shared" ca="1" si="2"/>
        <v>2.3936140198847515</v>
      </c>
      <c r="N35" s="6">
        <f t="shared" ca="1" si="3"/>
        <v>0.53658536585366146</v>
      </c>
    </row>
    <row r="36" spans="1:14" ht="15">
      <c r="A36" s="79">
        <f t="shared" ca="1" si="4"/>
        <v>1.3123269815903635</v>
      </c>
      <c r="B36" s="83">
        <f ca="1">IF($A36&lt;&gt;"",IF($E$5="pAu",VLOOKUP(A36,pAg!$A$2:$C$47,3),VLOOKUP(A36,pAg!$O$3:$P1226,2)),"")</f>
        <v>0.9772547765227273</v>
      </c>
      <c r="C36" s="83">
        <f ca="1">VLOOKUP(A36,pAg!$A$7:$C$47,3)</f>
        <v>0.99</v>
      </c>
      <c r="D36" s="87">
        <f ca="1">IF($A36&lt;&gt;"",1-VLOOKUP($N36,'AR sim'!$E$10:$F$38,2)*'J129'!$E$10/'AR sim'!$D$42,"")</f>
        <v>0.99513839285714289</v>
      </c>
      <c r="E36" s="88">
        <f ca="1">VLOOKUP($A36,'cycle4 AFTA filters 2'!$A$34:$G$181,'J129'!$I$2)</f>
        <v>0.95</v>
      </c>
      <c r="F36" s="87">
        <f>IF($L$10=1, IF($K$10="R",VLOOKUP($A36,dichroic!$F$5:$H$1232,3),VLOOKUP($A36,dichroic!$F$5:$H$1232,2)),1)</f>
        <v>1</v>
      </c>
      <c r="G36" s="83">
        <f t="shared" ca="1" si="5"/>
        <v>0.84676444557932939</v>
      </c>
      <c r="H36" s="83">
        <f t="shared" ca="1" si="6"/>
        <v>0.92666164433196374</v>
      </c>
      <c r="I36" s="83">
        <f t="shared" ca="1" si="0"/>
        <v>0.95</v>
      </c>
      <c r="J36" s="89">
        <f t="shared" ca="1" si="1"/>
        <v>0.98</v>
      </c>
      <c r="K36" s="46">
        <f ca="1">VLOOKUP($A36,'SWIR data'!$A$5:$K$795,11)/100</f>
        <v>0.81681723104190751</v>
      </c>
      <c r="L36" s="90">
        <f t="shared" ca="1" si="2"/>
        <v>2.4013688184578417</v>
      </c>
      <c r="N36" s="6">
        <f t="shared" ca="1" si="3"/>
        <v>0.56097560975610061</v>
      </c>
    </row>
    <row r="37" spans="1:14" ht="15">
      <c r="A37" s="79">
        <f t="shared" ca="1" si="4"/>
        <v>1.320208825323639</v>
      </c>
      <c r="B37" s="83">
        <f ca="1">IF($A37&lt;&gt;"",IF($E$5="pAu",VLOOKUP(A37,pAg!$A$2:$C$47,3),VLOOKUP(A37,pAg!$O$3:$P1227,2)),"")</f>
        <v>0.97737011511363636</v>
      </c>
      <c r="C37" s="83">
        <f ca="1">VLOOKUP(A37,pAg!$A$7:$C$47,3)</f>
        <v>0.99</v>
      </c>
      <c r="D37" s="87">
        <f ca="1">IF($A37&lt;&gt;"",1-VLOOKUP($N37,'AR sim'!$E$10:$F$38,2)*'J129'!$E$10/'AR sim'!$D$42,"")</f>
        <v>0.9955803571428572</v>
      </c>
      <c r="E37" s="88">
        <f ca="1">VLOOKUP($A37,'cycle4 AFTA filters 2'!$A$34:$G$181,'J129'!$I$2)</f>
        <v>0.95</v>
      </c>
      <c r="F37" s="87">
        <f>IF($L$10=1, IF($K$10="R",VLOOKUP($A37,dichroic!$F$5:$H$1232,3),VLOOKUP($A37,dichroic!$F$5:$H$1232,2)),1)</f>
        <v>1</v>
      </c>
      <c r="G37" s="83">
        <f t="shared" ca="1" si="5"/>
        <v>0.84726425216204126</v>
      </c>
      <c r="H37" s="83">
        <f t="shared" ca="1" si="6"/>
        <v>0.92688039210995876</v>
      </c>
      <c r="I37" s="83">
        <f t="shared" ca="1" si="0"/>
        <v>0.95</v>
      </c>
      <c r="J37" s="89">
        <f t="shared" ca="1" si="1"/>
        <v>0.98</v>
      </c>
      <c r="K37" s="46">
        <f ca="1">VLOOKUP($A37,'SWIR data'!$A$5:$K$795,11)/100</f>
        <v>0.8201587302744181</v>
      </c>
      <c r="L37" s="90">
        <f t="shared" ca="1" si="2"/>
        <v>2.412615741531388</v>
      </c>
      <c r="N37" s="6">
        <f t="shared" ca="1" si="3"/>
        <v>0.58536585365853977</v>
      </c>
    </row>
    <row r="38" spans="1:14" ht="15">
      <c r="A38" s="79">
        <f t="shared" ca="1" si="4"/>
        <v>1.3280906690569145</v>
      </c>
      <c r="B38" s="83">
        <f ca="1">IF($A38&lt;&gt;"",IF($E$5="pAu",VLOOKUP(A38,pAg!$A$2:$C$47,3),VLOOKUP(A38,pAg!$O$3:$P1228,2)),"")</f>
        <v>0.97746506886818196</v>
      </c>
      <c r="C38" s="83">
        <f ca="1">VLOOKUP(A38,pAg!$A$7:$C$47,3)</f>
        <v>0.99</v>
      </c>
      <c r="D38" s="87">
        <f ca="1">IF($A38&lt;&gt;"",1-VLOOKUP($N38,'AR sim'!$E$10:$F$38,2)*'J129'!$E$10/'AR sim'!$D$42,"")</f>
        <v>0.99602232142857139</v>
      </c>
      <c r="E38" s="88">
        <f ca="1">VLOOKUP($A38,'cycle4 AFTA filters 2'!$A$34:$G$181,'J129'!$I$2)</f>
        <v>0.95</v>
      </c>
      <c r="F38" s="87">
        <f>IF($L$10=1, IF($K$10="R",VLOOKUP($A38,dichroic!$F$5:$H$1232,3),VLOOKUP($A38,dichroic!$F$5:$H$1232,2)),1)</f>
        <v>1</v>
      </c>
      <c r="G38" s="83">
        <f t="shared" ca="1" si="5"/>
        <v>0.84767590049307595</v>
      </c>
      <c r="H38" s="83">
        <f t="shared" ca="1" si="6"/>
        <v>0.92706049798205159</v>
      </c>
      <c r="I38" s="83">
        <f t="shared" ca="1" si="0"/>
        <v>0.95</v>
      </c>
      <c r="J38" s="89">
        <f t="shared" ca="1" si="1"/>
        <v>0.98</v>
      </c>
      <c r="K38" s="46">
        <f ca="1">VLOOKUP($A38,'SWIR data'!$A$5:$K$795,11)/100</f>
        <v>0.82236342730660139</v>
      </c>
      <c r="L38" s="90">
        <f t="shared" ca="1" si="2"/>
        <v>2.4202765118660303</v>
      </c>
      <c r="N38" s="6">
        <f t="shared" ca="1" si="3"/>
        <v>0.60975609756097893</v>
      </c>
    </row>
    <row r="39" spans="1:14" ht="15">
      <c r="A39" s="79">
        <f t="shared" ca="1" si="4"/>
        <v>1.33597251279019</v>
      </c>
      <c r="B39" s="83">
        <f ca="1">IF($A39&lt;&gt;"",IF($E$5="pAu",VLOOKUP(A39,pAg!$A$2:$C$47,3),VLOOKUP(A39,pAg!$O$3:$P1229,2)),"")</f>
        <v>0.97756358110454533</v>
      </c>
      <c r="C39" s="83">
        <f ca="1">VLOOKUP(A39,pAg!$A$7:$C$47,3)</f>
        <v>0.99</v>
      </c>
      <c r="D39" s="87">
        <f ca="1">IF($A39&lt;&gt;"",1-VLOOKUP($N39,'AR sim'!$E$10:$F$38,2)*'J129'!$E$10/'AR sim'!$D$42,"")</f>
        <v>0.99602232142857139</v>
      </c>
      <c r="E39" s="88">
        <f ca="1">VLOOKUP($A39,'cycle4 AFTA filters 2'!$A$34:$G$181,'J129'!$I$2)</f>
        <v>0.95</v>
      </c>
      <c r="F39" s="87">
        <f>IF($L$10=1, IF($K$10="R",VLOOKUP($A39,dichroic!$F$5:$H$1232,3),VLOOKUP($A39,dichroic!$F$5:$H$1232,2)),1)</f>
        <v>1</v>
      </c>
      <c r="G39" s="83">
        <f t="shared" ca="1" si="5"/>
        <v>0.8481031448271722</v>
      </c>
      <c r="H39" s="83">
        <f t="shared" ca="1" si="6"/>
        <v>0.92724737198486007</v>
      </c>
      <c r="I39" s="83">
        <f t="shared" ca="1" si="0"/>
        <v>0.95</v>
      </c>
      <c r="J39" s="89">
        <f t="shared" ca="1" si="1"/>
        <v>0.98</v>
      </c>
      <c r="K39" s="46">
        <f ca="1">VLOOKUP($A39,'SWIR data'!$A$5:$K$795,11)/100</f>
        <v>0.82560983962892021</v>
      </c>
      <c r="L39" s="90">
        <f t="shared" ca="1" si="2"/>
        <v>2.4310556236646055</v>
      </c>
      <c r="N39" s="6">
        <f t="shared" ca="1" si="3"/>
        <v>0.63414634146341808</v>
      </c>
    </row>
    <row r="40" spans="1:14" ht="15">
      <c r="A40" s="79">
        <f t="shared" ca="1" si="4"/>
        <v>1.3438543565234655</v>
      </c>
      <c r="B40" s="83">
        <f ca="1">IF($A40&lt;&gt;"",IF($E$5="pAu",VLOOKUP(A40,pAg!$A$2:$C$47,3),VLOOKUP(A40,pAg!$O$3:$P1230,2)),"")</f>
        <v>0.97766886838636358</v>
      </c>
      <c r="C40" s="83">
        <f ca="1">VLOOKUP(A40,pAg!$A$7:$C$47,3)</f>
        <v>0.99</v>
      </c>
      <c r="D40" s="87">
        <f ca="1">IF($A40&lt;&gt;"",1-VLOOKUP($N40,'AR sim'!$E$10:$F$38,2)*'J129'!$E$10/'AR sim'!$D$42,"")</f>
        <v>0.99646428571428569</v>
      </c>
      <c r="E40" s="88">
        <f ca="1">VLOOKUP($A40,'cycle4 AFTA filters 2'!$A$34:$G$181,'J129'!$I$2)</f>
        <v>0.95</v>
      </c>
      <c r="F40" s="87">
        <f>IF($L$10=1, IF($K$10="R",VLOOKUP($A40,dichroic!$F$5:$H$1232,3),VLOOKUP($A40,dichroic!$F$5:$H$1232,2)),1)</f>
        <v>1</v>
      </c>
      <c r="G40" s="83">
        <f t="shared" ca="1" si="5"/>
        <v>0.84855996274327194</v>
      </c>
      <c r="H40" s="83">
        <f t="shared" ca="1" si="6"/>
        <v>0.92744711881396369</v>
      </c>
      <c r="I40" s="83">
        <f t="shared" ca="1" si="0"/>
        <v>0.95</v>
      </c>
      <c r="J40" s="89">
        <f t="shared" ca="1" si="1"/>
        <v>0.98</v>
      </c>
      <c r="K40" s="46">
        <f ca="1">VLOOKUP($A40,'SWIR data'!$A$5:$K$795,11)/100</f>
        <v>0.82774220712642366</v>
      </c>
      <c r="L40" s="90">
        <f t="shared" ca="1" si="2"/>
        <v>2.4386473356371332</v>
      </c>
      <c r="N40" s="6">
        <f t="shared" ca="1" si="3"/>
        <v>0.65853658536585724</v>
      </c>
    </row>
    <row r="41" spans="1:14" ht="15">
      <c r="A41" s="79">
        <f t="shared" ca="1" si="4"/>
        <v>1.351736200256741</v>
      </c>
      <c r="B41" s="83">
        <f ca="1">IF($A41&lt;&gt;"",IF($E$5="pAu",VLOOKUP(A41,pAg!$A$2:$C$47,3),VLOOKUP(A41,pAg!$O$3:$P1231,2)),"")</f>
        <v>0.97777523117272724</v>
      </c>
      <c r="C41" s="83">
        <f ca="1">VLOOKUP(A41,pAg!$A$7:$C$47,3)</f>
        <v>0.99</v>
      </c>
      <c r="D41" s="87">
        <f ca="1">IF($A41&lt;&gt;"",1-VLOOKUP($N41,'AR sim'!$E$10:$F$38,2)*'J129'!$E$10/'AR sim'!$D$42,"")</f>
        <v>0.99690624999999999</v>
      </c>
      <c r="E41" s="88">
        <f ca="1">VLOOKUP($A41,'cycle4 AFTA filters 2'!$A$34:$G$181,'J129'!$I$2)</f>
        <v>0.95</v>
      </c>
      <c r="F41" s="87">
        <f>IF($L$10=1, IF($K$10="R",VLOOKUP($A41,dichroic!$F$5:$H$1232,3),VLOOKUP($A41,dichroic!$F$5:$H$1232,2)),1)</f>
        <v>1</v>
      </c>
      <c r="G41" s="83">
        <f t="shared" ca="1" si="5"/>
        <v>0.84902164688409387</v>
      </c>
      <c r="H41" s="83">
        <f t="shared" ca="1" si="6"/>
        <v>0.92764892789043951</v>
      </c>
      <c r="I41" s="83">
        <f t="shared" ca="1" si="0"/>
        <v>0.95</v>
      </c>
      <c r="J41" s="89">
        <f t="shared" ca="1" si="1"/>
        <v>0.98</v>
      </c>
      <c r="K41" s="46">
        <f ca="1">VLOOKUP($A41,'SWIR data'!$A$5:$K$795,11)/100</f>
        <v>0.83089283880367293</v>
      </c>
      <c r="L41" s="90">
        <f t="shared" ca="1" si="2"/>
        <v>2.4492614171809333</v>
      </c>
      <c r="N41" s="6">
        <f t="shared" ca="1" si="3"/>
        <v>0.6829268292682964</v>
      </c>
    </row>
    <row r="42" spans="1:14" ht="15">
      <c r="A42" s="79">
        <f t="shared" ca="1" si="4"/>
        <v>1.3596180439900165</v>
      </c>
      <c r="B42" s="83">
        <f ca="1">IF($A42&lt;&gt;"",IF($E$5="pAu",VLOOKUP(A42,pAg!$A$2:$C$47,3),VLOOKUP(A42,pAg!$O$3:$P1232,2)),"")</f>
        <v>0.97784917595454546</v>
      </c>
      <c r="C42" s="83">
        <f ca="1">VLOOKUP(A42,pAg!$A$7:$C$47,3)</f>
        <v>0.99</v>
      </c>
      <c r="D42" s="87">
        <f ca="1">IF($A42&lt;&gt;"",1-VLOOKUP($N42,'AR sim'!$E$10:$F$38,2)*'J129'!$E$10/'AR sim'!$D$42,"")</f>
        <v>0.99690624999999999</v>
      </c>
      <c r="E42" s="88">
        <f ca="1">VLOOKUP($A42,'cycle4 AFTA filters 2'!$A$34:$G$181,'J129'!$I$2)</f>
        <v>0.95</v>
      </c>
      <c r="F42" s="87">
        <f>IF($L$10=1, IF($K$10="R",VLOOKUP($A42,dichroic!$F$5:$H$1232,3),VLOOKUP($A42,dichroic!$F$5:$H$1232,2)),1)</f>
        <v>1</v>
      </c>
      <c r="G42" s="83">
        <f t="shared" ca="1" si="5"/>
        <v>0.84934273405630967</v>
      </c>
      <c r="H42" s="83">
        <f t="shared" ca="1" si="6"/>
        <v>0.92778924110179761</v>
      </c>
      <c r="I42" s="83">
        <f t="shared" ca="1" si="0"/>
        <v>0.95</v>
      </c>
      <c r="J42" s="89">
        <f t="shared" ca="1" si="1"/>
        <v>0.98</v>
      </c>
      <c r="K42" s="46">
        <f ca="1">VLOOKUP($A42,'SWIR data'!$A$5:$K$795,11)/100</f>
        <v>0.83296115678974314</v>
      </c>
      <c r="L42" s="90">
        <f t="shared" ca="1" si="2"/>
        <v>2.4562868736321168</v>
      </c>
      <c r="N42" s="6">
        <f t="shared" ca="1" si="3"/>
        <v>0.70731707317073556</v>
      </c>
    </row>
    <row r="43" spans="1:14" ht="15">
      <c r="A43" s="79">
        <f t="shared" ca="1" si="4"/>
        <v>1.367499887723292</v>
      </c>
      <c r="B43" s="83">
        <f ca="1">IF($A43&lt;&gt;"",IF($E$5="pAu",VLOOKUP(A43,pAg!$A$2:$C$47,3),VLOOKUP(A43,pAg!$O$3:$P1233,2)),"")</f>
        <v>0.97791679253636365</v>
      </c>
      <c r="C43" s="83">
        <f ca="1">VLOOKUP(A43,pAg!$A$7:$C$47,3)</f>
        <v>0.99</v>
      </c>
      <c r="D43" s="87">
        <f ca="1">IF($A43&lt;&gt;"",1-VLOOKUP($N43,'AR sim'!$E$10:$F$38,2)*'J129'!$E$10/'AR sim'!$D$42,"")</f>
        <v>0.9973482142857143</v>
      </c>
      <c r="E43" s="88">
        <f ca="1">VLOOKUP($A43,'cycle4 AFTA filters 2'!$A$34:$G$181,'J129'!$I$2)</f>
        <v>0.95</v>
      </c>
      <c r="F43" s="87">
        <f>IF($L$10=1, IF($K$10="R",VLOOKUP($A43,dichroic!$F$5:$H$1232,3),VLOOKUP($A43,dichroic!$F$5:$H$1232,2)),1)</f>
        <v>1</v>
      </c>
      <c r="G43" s="83">
        <f t="shared" ca="1" si="5"/>
        <v>0.8496364275867293</v>
      </c>
      <c r="H43" s="83">
        <f t="shared" ca="1" si="6"/>
        <v>0.92791755558555522</v>
      </c>
      <c r="I43" s="83">
        <f t="shared" ca="1" si="0"/>
        <v>0.95</v>
      </c>
      <c r="J43" s="89">
        <f t="shared" ca="1" si="1"/>
        <v>0.98</v>
      </c>
      <c r="K43" s="46">
        <f ca="1">VLOOKUP($A43,'SWIR data'!$A$5:$K$795,11)/100</f>
        <v>0.83600670089477891</v>
      </c>
      <c r="L43" s="90">
        <f t="shared" ca="1" si="2"/>
        <v>2.4661202235383639</v>
      </c>
      <c r="N43" s="6">
        <f t="shared" ca="1" si="3"/>
        <v>0.73170731707317471</v>
      </c>
    </row>
    <row r="44" spans="1:14" ht="15">
      <c r="A44" s="79">
        <f t="shared" ca="1" si="4"/>
        <v>1.3753817314565675</v>
      </c>
      <c r="B44" s="83">
        <f ca="1">IF($A44&lt;&gt;"",IF($E$5="pAu",VLOOKUP(A44,pAg!$A$2:$C$47,3),VLOOKUP(A44,pAg!$O$3:$P1234,2)),"")</f>
        <v>0.97805153815000001</v>
      </c>
      <c r="C44" s="83">
        <f ca="1">VLOOKUP(A44,pAg!$A$7:$C$47,3)</f>
        <v>0.99</v>
      </c>
      <c r="D44" s="87">
        <f ca="1">IF($A44&lt;&gt;"",1-VLOOKUP($N44,'AR sim'!$E$10:$F$38,2)*'J129'!$E$10/'AR sim'!$D$42,"")</f>
        <v>0.99712723214285715</v>
      </c>
      <c r="E44" s="88">
        <f ca="1">VLOOKUP($A44,'cycle4 AFTA filters 2'!$A$34:$G$181,'J129'!$I$2)</f>
        <v>0.95</v>
      </c>
      <c r="F44" s="87">
        <f>IF($L$10=1, IF($K$10="R",VLOOKUP($A44,dichroic!$F$5:$H$1232,3),VLOOKUP($A44,dichroic!$F$5:$H$1232,2)),1)</f>
        <v>1</v>
      </c>
      <c r="G44" s="83">
        <f t="shared" ca="1" si="5"/>
        <v>0.85022193923955958</v>
      </c>
      <c r="H44" s="83">
        <f t="shared" ca="1" si="6"/>
        <v>0.92817328579782532</v>
      </c>
      <c r="I44" s="83">
        <f t="shared" ca="1" si="0"/>
        <v>0.95</v>
      </c>
      <c r="J44" s="89">
        <f t="shared" ca="1" si="1"/>
        <v>0.98</v>
      </c>
      <c r="K44" s="46">
        <f ca="1">VLOOKUP($A44,'SWIR data'!$A$5:$K$795,11)/100</f>
        <v>0.83800184501161723</v>
      </c>
      <c r="L44" s="90">
        <f t="shared" ca="1" si="2"/>
        <v>2.4737091993310591</v>
      </c>
      <c r="N44" s="6">
        <f t="shared" ca="1" si="3"/>
        <v>0.75609756097561387</v>
      </c>
    </row>
    <row r="45" spans="1:14" ht="15">
      <c r="A45" s="79">
        <f t="shared" ca="1" si="4"/>
        <v>1.383263575189843</v>
      </c>
      <c r="B45" s="83">
        <f ca="1">IF($A45&lt;&gt;"",IF($E$5="pAu",VLOOKUP(A45,pAg!$A$2:$C$47,3),VLOOKUP(A45,pAg!$O$3:$P1213,2)),"")</f>
        <v>0.97818050733636353</v>
      </c>
      <c r="C45" s="83">
        <f ca="1">VLOOKUP(A45,pAg!$A$7:$C$47,3)</f>
        <v>0.99</v>
      </c>
      <c r="D45" s="87">
        <f ca="1">IF($A45&lt;&gt;"",1-VLOOKUP($N45,'AR sim'!$E$10:$F$38,2)*'J129'!$E$10/'AR sim'!$D$42,"")</f>
        <v>0.99712723214285715</v>
      </c>
      <c r="E45" s="88">
        <f ca="1">VLOOKUP($A45,'cycle4 AFTA filters 2'!$A$34:$G$181,'J129'!$I$2)</f>
        <v>0.95</v>
      </c>
      <c r="F45" s="87">
        <f>IF($L$10=1, IF($K$10="R",VLOOKUP($A45,dichroic!$F$5:$H$1232,3),VLOOKUP($A45,dichroic!$F$5:$H$1232,2)),1)</f>
        <v>1</v>
      </c>
      <c r="G45" s="83">
        <f t="shared" ca="1" si="5"/>
        <v>0.85078265280908549</v>
      </c>
      <c r="H45" s="83">
        <f t="shared" ca="1" si="6"/>
        <v>0.92841808607921561</v>
      </c>
      <c r="I45" s="83">
        <f t="shared" ca="1" si="0"/>
        <v>0.95</v>
      </c>
      <c r="J45" s="89">
        <f t="shared" ca="1" si="1"/>
        <v>0.98</v>
      </c>
      <c r="K45" s="46">
        <f ca="1">VLOOKUP($A45,'SWIR data'!$A$5:$K$795,11)/100</f>
        <v>0.84095029983817071</v>
      </c>
      <c r="L45" s="90">
        <f t="shared" ca="1" si="2"/>
        <v>2.4840499122409914</v>
      </c>
      <c r="N45" s="6">
        <f t="shared" ca="1" si="3"/>
        <v>0.78048780487805303</v>
      </c>
    </row>
    <row r="46" spans="1:14" ht="15">
      <c r="A46" s="79">
        <f t="shared" ca="1" si="4"/>
        <v>1.3911454189231185</v>
      </c>
      <c r="B46" s="83">
        <f ca="1">IF($A46&lt;&gt;"",IF($E$5="pAu",VLOOKUP(A46,pAg!$A$2:$C$47,3),VLOOKUP(A46,pAg!$O$3:$P1214,2)),"")</f>
        <v>0.97833249629999997</v>
      </c>
      <c r="C46" s="83">
        <f ca="1">VLOOKUP(A46,pAg!$A$7:$C$47,3)</f>
        <v>0.99</v>
      </c>
      <c r="D46" s="87">
        <f ca="1">IF($A46&lt;&gt;"",1-VLOOKUP($N46,'AR sim'!$E$10:$F$38,2)*'J129'!$E$10/'AR sim'!$D$42,"")</f>
        <v>0.99690624999999999</v>
      </c>
      <c r="E46" s="88">
        <f ca="1">VLOOKUP($A46,'cycle4 AFTA filters 2'!$A$34:$G$181,'J129'!$I$2)</f>
        <v>0.95</v>
      </c>
      <c r="F46" s="87">
        <f>IF($L$10=1, IF($K$10="R",VLOOKUP($A46,dichroic!$F$5:$H$1232,3),VLOOKUP($A46,dichroic!$F$5:$H$1232,2)),1)</f>
        <v>1</v>
      </c>
      <c r="G46" s="83">
        <f t="shared" ca="1" si="5"/>
        <v>0.85144382813923269</v>
      </c>
      <c r="H46" s="83">
        <f t="shared" ca="1" si="6"/>
        <v>0.92870662232461332</v>
      </c>
      <c r="I46" s="83">
        <f t="shared" ca="1" si="0"/>
        <v>0.95</v>
      </c>
      <c r="J46" s="89">
        <f t="shared" ca="1" si="1"/>
        <v>0.98</v>
      </c>
      <c r="K46" s="46">
        <f ca="1">VLOOKUP($A46,'SWIR data'!$A$5:$K$795,11)/100</f>
        <v>0.84288068186931719</v>
      </c>
      <c r="L46" s="90">
        <f t="shared" ca="1" si="2"/>
        <v>2.4916868718630178</v>
      </c>
      <c r="N46" s="6">
        <f t="shared" ca="1" si="3"/>
        <v>0.80487804878049218</v>
      </c>
    </row>
    <row r="47" spans="1:14" ht="15">
      <c r="A47" s="79">
        <f t="shared" ca="1" si="4"/>
        <v>1.399027262656394</v>
      </c>
      <c r="B47" s="83">
        <f ca="1">IF($A47&lt;&gt;"",IF($E$5="pAu",VLOOKUP(A47,pAg!$A$2:$C$47,3),VLOOKUP(A47,pAg!$O$3:$P1215,2)),"")</f>
        <v>0.97833228463636357</v>
      </c>
      <c r="C47" s="83">
        <f ca="1">VLOOKUP(A47,pAg!$A$7:$C$47,3)</f>
        <v>0.99</v>
      </c>
      <c r="D47" s="87">
        <f ca="1">IF($A47&lt;&gt;"",1-VLOOKUP($N47,'AR sim'!$E$10:$F$38,2)*'J129'!$E$10/'AR sim'!$D$42,"")</f>
        <v>0.99668526785714284</v>
      </c>
      <c r="E47" s="88">
        <f ca="1">VLOOKUP($A47,'cycle4 AFTA filters 2'!$A$34:$G$181,'J129'!$I$2)</f>
        <v>0.95</v>
      </c>
      <c r="F47" s="87">
        <f>IF($L$10=1, IF($K$10="R",VLOOKUP($A47,dichroic!$F$5:$H$1232,3),VLOOKUP($A47,dichroic!$F$5:$H$1232,2)),1)</f>
        <v>1</v>
      </c>
      <c r="G47" s="83">
        <f t="shared" ca="1" si="5"/>
        <v>0.85144290708417458</v>
      </c>
      <c r="H47" s="83">
        <f t="shared" ca="1" si="6"/>
        <v>0.92870622047064177</v>
      </c>
      <c r="I47" s="83">
        <f t="shared" ca="1" si="0"/>
        <v>0.95</v>
      </c>
      <c r="J47" s="89">
        <f t="shared" ca="1" si="1"/>
        <v>0.98</v>
      </c>
      <c r="K47" s="46">
        <f ca="1">VLOOKUP($A47,'SWIR data'!$A$5:$K$795,11)/100</f>
        <v>0.84571405395336485</v>
      </c>
      <c r="L47" s="90">
        <f t="shared" ca="1" si="2"/>
        <v>2.5000600575819072</v>
      </c>
      <c r="N47" s="6">
        <f t="shared" ca="1" si="3"/>
        <v>0.82926829268293134</v>
      </c>
    </row>
    <row r="48" spans="1:14" ht="15">
      <c r="A48" s="79">
        <f t="shared" ca="1" si="4"/>
        <v>1.4069091063896695</v>
      </c>
      <c r="B48" s="83">
        <f ca="1">IF($A48&lt;&gt;"",IF($E$5="pAu",VLOOKUP(A48,pAg!$A$2:$C$47,3),VLOOKUP(A48,pAg!$O$3:$P1216,2)),"")</f>
        <v>0.97821060608636368</v>
      </c>
      <c r="C48" s="83">
        <f ca="1">VLOOKUP(A48,pAg!$A$7:$C$47,3)</f>
        <v>0.99</v>
      </c>
      <c r="D48" s="87">
        <f ca="1">IF($A48&lt;&gt;"",1-VLOOKUP($N48,'AR sim'!$E$10:$F$38,2)*'J129'!$E$10/'AR sim'!$D$42,"")</f>
        <v>0.99668526785714284</v>
      </c>
      <c r="E48" s="88">
        <f ca="1">VLOOKUP($A48,'cycle4 AFTA filters 2'!$A$34:$G$181,'J129'!$I$2)</f>
        <v>0.95</v>
      </c>
      <c r="F48" s="87">
        <f>IF($L$10=1, IF($K$10="R",VLOOKUP($A48,dichroic!$F$5:$H$1232,3),VLOOKUP($A48,dichroic!$F$5:$H$1232,2)),1)</f>
        <v>1</v>
      </c>
      <c r="G48" s="83">
        <f t="shared" ca="1" si="5"/>
        <v>0.85091355436621152</v>
      </c>
      <c r="H48" s="83">
        <f t="shared" ca="1" si="6"/>
        <v>0.92847522206502342</v>
      </c>
      <c r="I48" s="83">
        <f t="shared" ca="1" si="0"/>
        <v>0.95</v>
      </c>
      <c r="J48" s="89">
        <f t="shared" ca="1" si="1"/>
        <v>0.98</v>
      </c>
      <c r="K48" s="46">
        <f ca="1">VLOOKUP($A48,'SWIR data'!$A$5:$K$795,11)/100</f>
        <v>0.84757031195651922</v>
      </c>
      <c r="L48" s="90">
        <f t="shared" ca="1" si="2"/>
        <v>2.5039897098502846</v>
      </c>
      <c r="N48" s="6">
        <f t="shared" ca="1" si="3"/>
        <v>0.8536585365853705</v>
      </c>
    </row>
    <row r="49" spans="1:14" ht="15">
      <c r="A49" s="79">
        <f t="shared" ca="1" si="4"/>
        <v>1.414790950122945</v>
      </c>
      <c r="B49" s="83">
        <f ca="1">IF($A49&lt;&gt;"",IF($E$5="pAu",VLOOKUP(A49,pAg!$A$2:$C$47,3),VLOOKUP(A49,pAg!$O$3:$P1217,2)),"")</f>
        <v>0.97819836758636358</v>
      </c>
      <c r="C49" s="83">
        <f ca="1">VLOOKUP(A49,pAg!$A$7:$C$47,3)</f>
        <v>0.99</v>
      </c>
      <c r="D49" s="87">
        <f ca="1">IF($A49&lt;&gt;"",1-VLOOKUP($N49,'AR sim'!$E$10:$F$38,2)*'J129'!$E$10/'AR sim'!$D$42,"")</f>
        <v>0.99646428571428569</v>
      </c>
      <c r="E49" s="88">
        <f ca="1">VLOOKUP($A49,'cycle4 AFTA filters 2'!$A$34:$G$181,'J129'!$I$2)</f>
        <v>0.95</v>
      </c>
      <c r="F49" s="87">
        <f>IF($L$10=1, IF($K$10="R",VLOOKUP($A49,dichroic!$F$5:$H$1232,3),VLOOKUP($A49,dichroic!$F$5:$H$1232,2)),1)</f>
        <v>1</v>
      </c>
      <c r="G49" s="83">
        <f t="shared" ca="1" si="5"/>
        <v>0.85086032633487241</v>
      </c>
      <c r="H49" s="83">
        <f t="shared" ca="1" si="6"/>
        <v>0.92845198970002585</v>
      </c>
      <c r="I49" s="83">
        <f t="shared" ca="1" si="0"/>
        <v>0.95</v>
      </c>
      <c r="J49" s="89">
        <f t="shared" ca="1" si="1"/>
        <v>0.98</v>
      </c>
      <c r="K49" s="46">
        <f ca="1">VLOOKUP($A49,'SWIR data'!$A$5:$K$795,11)/100</f>
        <v>0.85030555769472771</v>
      </c>
      <c r="L49" s="90">
        <f t="shared" ca="1" si="2"/>
        <v>2.5119133474272144</v>
      </c>
      <c r="N49" s="6">
        <f t="shared" ca="1" si="3"/>
        <v>0.87804878048780965</v>
      </c>
    </row>
    <row r="50" spans="1:14" ht="15">
      <c r="A50" s="79">
        <f t="shared" ca="1" si="4"/>
        <v>1.4226727938562205</v>
      </c>
      <c r="B50" s="83">
        <f ca="1">IF($A50&lt;&gt;"",IF($E$5="pAu",VLOOKUP(A50,pAg!$A$2:$C$47,3),VLOOKUP(A50,pAg!$O$3:$P1218,2)),"")</f>
        <v>0.97841444359545449</v>
      </c>
      <c r="C50" s="83">
        <f ca="1">VLOOKUP(A50,pAg!$A$7:$C$47,3)</f>
        <v>0.99</v>
      </c>
      <c r="D50" s="87">
        <f ca="1">IF($A50&lt;&gt;"",1-VLOOKUP($N50,'AR sim'!$E$10:$F$38,2)*'J129'!$E$10/'AR sim'!$D$42,"")</f>
        <v>0.99513839285714289</v>
      </c>
      <c r="E50" s="88">
        <f ca="1">VLOOKUP($A50,'cycle4 AFTA filters 2'!$A$34:$G$181,'J129'!$I$2)</f>
        <v>0.95</v>
      </c>
      <c r="F50" s="87">
        <f>IF($L$10=1, IF($K$10="R",VLOOKUP($A50,dichroic!$F$5:$H$1232,3),VLOOKUP($A50,dichroic!$F$5:$H$1232,2)),1)</f>
        <v>1</v>
      </c>
      <c r="G50" s="83">
        <f t="shared" ca="1" si="5"/>
        <v>0.85180048198114888</v>
      </c>
      <c r="H50" s="83">
        <f t="shared" ca="1" si="6"/>
        <v>0.92886220988532398</v>
      </c>
      <c r="I50" s="83">
        <f t="shared" ca="1" si="0"/>
        <v>0.95</v>
      </c>
      <c r="J50" s="89">
        <f t="shared" ca="1" si="1"/>
        <v>0.98</v>
      </c>
      <c r="K50" s="46">
        <f ca="1">VLOOKUP($A50,'SWIR data'!$A$5:$K$795,11)/100</f>
        <v>0.85208736066624535</v>
      </c>
      <c r="L50" s="90">
        <f t="shared" ca="1" si="2"/>
        <v>2.5199583728813475</v>
      </c>
      <c r="N50" s="6">
        <f t="shared" ca="1" si="3"/>
        <v>0.90243902439024881</v>
      </c>
    </row>
    <row r="51" spans="1:14" ht="15">
      <c r="A51" s="79">
        <f t="shared" ca="1" si="4"/>
        <v>1.430554637589496</v>
      </c>
      <c r="B51" s="83">
        <f ca="1">IF($A51&lt;&gt;"",IF($E$5="pAu",VLOOKUP(A51,pAg!$A$2:$C$47,3),VLOOKUP(A51,pAg!$O$3:$P1219,2)),"")</f>
        <v>0.97873446001818176</v>
      </c>
      <c r="C51" s="83">
        <f ca="1">VLOOKUP(A51,pAg!$A$7:$C$47,3)</f>
        <v>0.99</v>
      </c>
      <c r="D51" s="87">
        <f ca="1">IF($A51&lt;&gt;"",1-VLOOKUP($N51,'AR sim'!$E$10:$F$38,2)*'J129'!$E$10/'AR sim'!$D$42,"")</f>
        <v>0.99513839285714289</v>
      </c>
      <c r="E51" s="88">
        <f ca="1">VLOOKUP($A51,'cycle4 AFTA filters 2'!$A$34:$G$181,'J129'!$I$2)</f>
        <v>0.86888805705237504</v>
      </c>
      <c r="F51" s="87">
        <f>IF($L$10=1, IF($K$10="R",VLOOKUP($A51,dichroic!$F$5:$H$1232,3),VLOOKUP($A51,dichroic!$F$5:$H$1232,2)),1)</f>
        <v>1</v>
      </c>
      <c r="G51" s="83">
        <f t="shared" ca="1" si="5"/>
        <v>0.78034782747847309</v>
      </c>
      <c r="H51" s="83">
        <f t="shared" ca="1" si="6"/>
        <v>0.92946992735209422</v>
      </c>
      <c r="I51" s="83">
        <f t="shared" ca="1" si="0"/>
        <v>0.86888805705237504</v>
      </c>
      <c r="J51" s="89">
        <f t="shared" ca="1" si="1"/>
        <v>0.98</v>
      </c>
      <c r="K51" s="46">
        <f ca="1">VLOOKUP($A51,'SWIR data'!$A$5:$K$795,11)/100</f>
        <v>0.85471499883834889</v>
      </c>
      <c r="L51" s="90">
        <f t="shared" ca="1" si="2"/>
        <v>2.3156926263137572</v>
      </c>
      <c r="N51" s="6">
        <f t="shared" ca="1" si="3"/>
        <v>0.92682926829268797</v>
      </c>
    </row>
    <row r="52" spans="1:14" ht="15">
      <c r="A52" s="79">
        <f t="shared" ca="1" si="4"/>
        <v>1.4384364813227715</v>
      </c>
      <c r="B52" s="83">
        <f ca="1">IF($A52&lt;&gt;"",IF($E$5="pAu",VLOOKUP(A52,pAg!$A$2:$C$47,3),VLOOKUP(A52,pAg!$O$3:$P1220,2)),"")</f>
        <v>0.97894754559999997</v>
      </c>
      <c r="C52" s="83">
        <f ca="1">VLOOKUP(A52,pAg!$A$7:$C$47,3)</f>
        <v>0.99</v>
      </c>
      <c r="D52" s="87">
        <f ca="1">IF($A52&lt;&gt;"",1-VLOOKUP($N52,'AR sim'!$E$10:$F$38,2)*'J129'!$E$10/'AR sim'!$D$42,"")</f>
        <v>0.99381249999999999</v>
      </c>
      <c r="E52" s="88">
        <f ca="1">VLOOKUP($A52,'cycle4 AFTA filters 2'!$A$34:$G$181,'J129'!$I$2)</f>
        <v>0.86888805705237504</v>
      </c>
      <c r="F52" s="87">
        <f>IF($L$10=1, IF($K$10="R",VLOOKUP($A52,dichroic!$F$5:$H$1232,3),VLOOKUP($A52,dichroic!$F$5:$H$1232,2)),1)</f>
        <v>1</v>
      </c>
      <c r="G52" s="83">
        <f t="shared" ca="1" si="5"/>
        <v>0.78119766621011133</v>
      </c>
      <c r="H52" s="83">
        <f t="shared" ca="1" si="6"/>
        <v>0.92987469127598987</v>
      </c>
      <c r="I52" s="83">
        <f t="shared" ca="1" si="0"/>
        <v>0.86888805705237504</v>
      </c>
      <c r="J52" s="89">
        <f t="shared" ca="1" si="1"/>
        <v>0.98</v>
      </c>
      <c r="K52" s="46">
        <f ca="1">VLOOKUP($A52,'SWIR data'!$A$5:$K$795,11)/100</f>
        <v>0.8564219099411039</v>
      </c>
      <c r="L52" s="90">
        <f t="shared" ca="1" si="2"/>
        <v>2.322844131283496</v>
      </c>
      <c r="N52" s="6">
        <f t="shared" ca="1" si="3"/>
        <v>0.95121951219512713</v>
      </c>
    </row>
    <row r="53" spans="1:14" ht="15">
      <c r="A53" s="79">
        <f t="shared" ca="1" si="4"/>
        <v>1.446318325056047</v>
      </c>
      <c r="B53" s="83">
        <f ca="1">IF($A53&lt;&gt;"",IF($E$5="pAu",VLOOKUP(A53,pAg!$A$2:$C$47,3),VLOOKUP(A53,pAg!$O$3:$P1221,2)),"")</f>
        <v>0.97904180918636352</v>
      </c>
      <c r="C53" s="83">
        <f ca="1">VLOOKUP(A53,pAg!$A$7:$C$47,3)</f>
        <v>0.99</v>
      </c>
      <c r="D53" s="87">
        <f ca="1">IF($A53&lt;&gt;"",1-VLOOKUP($N53,'AR sim'!$E$10:$F$38,2)*'J129'!$E$10/'AR sim'!$D$42,"")</f>
        <v>0.99248660714285719</v>
      </c>
      <c r="E53" s="88">
        <f ca="1">VLOOKUP($A53,'cycle4 AFTA filters 2'!$A$34:$G$181,'J129'!$I$2)</f>
        <v>0.71645603880332398</v>
      </c>
      <c r="F53" s="87">
        <f>IF($L$10=1, IF($K$10="R",VLOOKUP($A53,dichroic!$F$5:$H$1232,3),VLOOKUP($A53,dichroic!$F$5:$H$1232,2)),1)</f>
        <v>1</v>
      </c>
      <c r="G53" s="83">
        <f t="shared" ca="1" si="5"/>
        <v>0.64445966250936848</v>
      </c>
      <c r="H53" s="83">
        <f t="shared" ca="1" si="6"/>
        <v>0.93005377654723687</v>
      </c>
      <c r="I53" s="83">
        <f t="shared" ca="1" si="0"/>
        <v>0.71645603880332398</v>
      </c>
      <c r="J53" s="89">
        <f t="shared" ca="1" si="1"/>
        <v>0.98</v>
      </c>
      <c r="K53" s="46">
        <f ca="1">VLOOKUP($A53,'SWIR data'!$A$5:$K$795,11)/100</f>
        <v>0.85894130158014448</v>
      </c>
      <c r="L53" s="90">
        <f t="shared" ca="1" si="2"/>
        <v>1.9218991180611551</v>
      </c>
      <c r="N53" s="6">
        <f t="shared" ca="1" si="3"/>
        <v>0.97560975609756628</v>
      </c>
    </row>
    <row r="54" spans="1:14" ht="15">
      <c r="A54" s="79">
        <f t="shared" ca="1" si="4"/>
        <v>1.4542001687893225</v>
      </c>
      <c r="B54" s="83">
        <f ca="1">IF($A54&lt;&gt;"",IF($E$5="pAu",VLOOKUP(A54,pAg!$A$2:$C$47,3),VLOOKUP(A54,pAg!$O$3:$P1222,2)),"")</f>
        <v>0.97916863460000014</v>
      </c>
      <c r="C54" s="83">
        <f ca="1">VLOOKUP(A54,pAg!$A$7:$C$47,3)</f>
        <v>0.99</v>
      </c>
      <c r="D54" s="87">
        <f ca="1">IF($A54&lt;&gt;"",1-VLOOKUP($N54,'AR sim'!$E$10:$F$38,2)*'J129'!$E$10/'AR sim'!$D$42,"")</f>
        <v>0.99116071428571428</v>
      </c>
      <c r="E54" s="88">
        <f t="shared" ref="E54" ca="1" si="7">E53</f>
        <v>0.71645603880332398</v>
      </c>
      <c r="F54" s="87">
        <f>IF($L$10=1, IF($K$10="R",VLOOKUP($A54,dichroic!$F$5:$H$1232,3),VLOOKUP($A54,dichroic!$F$5:$H$1232,2)),1)</f>
        <v>1</v>
      </c>
      <c r="G54" s="83">
        <f t="shared" ca="1" si="5"/>
        <v>0.64487718830301555</v>
      </c>
      <c r="H54" s="83">
        <f t="shared" ca="1" si="6"/>
        <v>0.93029475112817606</v>
      </c>
      <c r="I54" s="83">
        <f t="shared" ca="1" si="0"/>
        <v>0.71645603880332398</v>
      </c>
      <c r="J54" s="89">
        <f t="shared" ca="1" si="1"/>
        <v>0.98</v>
      </c>
      <c r="K54" s="46">
        <f ca="1">VLOOKUP($A54,'SWIR data'!$A$5:$K$795,11)/100</f>
        <v>0.86058169211690594</v>
      </c>
      <c r="L54" s="90">
        <f t="shared" ca="1" si="2"/>
        <v>1.9268170440474794</v>
      </c>
      <c r="N54" s="6">
        <f t="shared" ca="1" si="3"/>
        <v>1.0000000000000056</v>
      </c>
    </row>
    <row r="55" spans="1:14" ht="19.5" customHeight="1">
      <c r="A55" s="80" t="s">
        <v>335</v>
      </c>
      <c r="B55" s="81">
        <f ca="1">AVERAGE(B13:B54)</f>
        <v>0.97698942901818187</v>
      </c>
      <c r="C55" s="81"/>
      <c r="D55" s="81">
        <f t="shared" ref="D55:E55" ca="1" si="8">AVERAGE(D13:D54)</f>
        <v>0.99529623724489824</v>
      </c>
      <c r="E55" s="81">
        <f t="shared" ca="1" si="8"/>
        <v>0.90420838573189377</v>
      </c>
      <c r="F55" s="81"/>
      <c r="G55" s="81">
        <f t="shared" ref="G55:L55" ca="1" si="9">AVERAGE(G13:G54)</f>
        <v>0.80498282034279911</v>
      </c>
      <c r="H55" s="81">
        <f t="shared" ca="1" si="9"/>
        <v>0.92615988453707299</v>
      </c>
      <c r="I55" s="81">
        <f t="shared" ca="1" si="9"/>
        <v>0.90420838573189377</v>
      </c>
      <c r="J55" s="81">
        <f t="shared" ca="1" si="9"/>
        <v>0.97999999999999954</v>
      </c>
      <c r="K55" s="81">
        <f t="shared" ca="1" si="9"/>
        <v>0.80758808700294882</v>
      </c>
      <c r="L55" s="81">
        <f t="shared" ca="1" si="9"/>
        <v>2.2608194827813399</v>
      </c>
      <c r="N55" s="6"/>
    </row>
    <row r="56" spans="1:14" ht="15">
      <c r="A56" s="82" t="s">
        <v>370</v>
      </c>
      <c r="B56" s="83">
        <f ca="1">STDEV(B13:B54)</f>
        <v>1.212471333204081E-3</v>
      </c>
      <c r="C56" s="83"/>
      <c r="D56" s="83">
        <f t="shared" ref="D56:E56" ca="1" si="10">STDEV(D13:D54)</f>
        <v>2.4001260754567665E-3</v>
      </c>
      <c r="E56" s="83">
        <f t="shared" ca="1" si="10"/>
        <v>0.11669948920540006</v>
      </c>
      <c r="F56" s="83"/>
      <c r="G56" s="83">
        <f t="shared" ref="G56:L56" ca="1" si="11">STDEV(G13:G54)</f>
        <v>0.10432012483268155</v>
      </c>
      <c r="H56" s="83">
        <f t="shared" ca="1" si="11"/>
        <v>2.298853624760836E-3</v>
      </c>
      <c r="I56" s="83">
        <f t="shared" ca="1" si="11"/>
        <v>0.11669948920540006</v>
      </c>
      <c r="J56" s="83">
        <f t="shared" ca="1" si="11"/>
        <v>2.9436635871219325E-8</v>
      </c>
      <c r="K56" s="83">
        <f t="shared" ca="1" si="11"/>
        <v>3.4833874922279628E-2</v>
      </c>
      <c r="L56" s="83">
        <f t="shared" ca="1" si="11"/>
        <v>0.32105871570551936</v>
      </c>
      <c r="N56" s="6"/>
    </row>
    <row r="57" spans="1:14" ht="15">
      <c r="A57" s="82" t="s">
        <v>336</v>
      </c>
      <c r="B57" s="83">
        <f ca="1">MIN(B13:B54)</f>
        <v>0.97509113093181821</v>
      </c>
      <c r="C57" s="83"/>
      <c r="D57" s="83">
        <f t="shared" ref="D57:E57" ca="1" si="12">MIN(D13:D54)</f>
        <v>0.98762499999999998</v>
      </c>
      <c r="E57" s="83">
        <f t="shared" ca="1" si="12"/>
        <v>0.47952798465973973</v>
      </c>
      <c r="F57" s="83"/>
      <c r="G57" s="83">
        <f t="shared" ref="G57:L57" ca="1" si="13">MIN(G13:G54)</f>
        <v>0.42270753408909689</v>
      </c>
      <c r="H57" s="83">
        <f t="shared" ca="1" si="13"/>
        <v>0.92256292222460834</v>
      </c>
      <c r="I57" s="83">
        <f t="shared" ca="1" si="13"/>
        <v>0.47952798465973973</v>
      </c>
      <c r="J57" s="83">
        <f t="shared" ca="1" si="13"/>
        <v>0.98</v>
      </c>
      <c r="K57" s="83">
        <f t="shared" ca="1" si="13"/>
        <v>0.7463633577761708</v>
      </c>
      <c r="L57" s="83">
        <f t="shared" ca="1" si="13"/>
        <v>1.0953720632271022</v>
      </c>
      <c r="N57" s="6"/>
    </row>
    <row r="58" spans="1:14" ht="15">
      <c r="A58" s="82" t="s">
        <v>337</v>
      </c>
      <c r="B58" s="83">
        <f ca="1">MAX(B13:B54)</f>
        <v>0.97916863460000014</v>
      </c>
      <c r="C58" s="83"/>
      <c r="D58" s="83">
        <f t="shared" ref="D58:E58" ca="1" si="14">MAX(D13:D54)</f>
        <v>0.9973482142857143</v>
      </c>
      <c r="E58" s="83">
        <f t="shared" ca="1" si="14"/>
        <v>0.95</v>
      </c>
      <c r="F58" s="83"/>
      <c r="G58" s="83">
        <f t="shared" ref="G58:L58" ca="1" si="15">MAX(G13:G54)</f>
        <v>0.85180048198114888</v>
      </c>
      <c r="H58" s="83">
        <f t="shared" ca="1" si="15"/>
        <v>0.93029475112817606</v>
      </c>
      <c r="I58" s="83">
        <f t="shared" ca="1" si="15"/>
        <v>0.95</v>
      </c>
      <c r="J58" s="83">
        <f t="shared" ca="1" si="15"/>
        <v>0.98</v>
      </c>
      <c r="K58" s="83">
        <f t="shared" ca="1" si="15"/>
        <v>0.86058169211690594</v>
      </c>
      <c r="L58" s="83">
        <f t="shared" ca="1" si="15"/>
        <v>2.5199583728813475</v>
      </c>
      <c r="N58" s="6"/>
    </row>
    <row r="59" spans="1:14">
      <c r="L59" s="5"/>
      <c r="M59" s="5"/>
    </row>
    <row r="60" spans="1:14">
      <c r="G60" s="6"/>
      <c r="H60" s="6"/>
      <c r="I60" s="6"/>
      <c r="J60" s="6"/>
      <c r="L60" s="7"/>
      <c r="M60" s="7"/>
    </row>
    <row r="61" spans="1:14">
      <c r="E61" s="6"/>
      <c r="F61" s="6"/>
      <c r="G61" s="6"/>
      <c r="H61" s="6"/>
      <c r="I61" s="6"/>
      <c r="J61" s="6"/>
      <c r="L61" s="7"/>
      <c r="M61" s="7"/>
    </row>
  </sheetData>
  <mergeCells count="12">
    <mergeCell ref="A11:D11"/>
    <mergeCell ref="I1:J1"/>
    <mergeCell ref="H3:J3"/>
    <mergeCell ref="H4:K4"/>
    <mergeCell ref="A5:B5"/>
    <mergeCell ref="H5:K5"/>
    <mergeCell ref="H6:K6"/>
    <mergeCell ref="H7:K7"/>
    <mergeCell ref="H8:K8"/>
    <mergeCell ref="A9:B9"/>
    <mergeCell ref="H9:J9"/>
    <mergeCell ref="A10:B10"/>
  </mergeCells>
  <phoneticPr fontId="26" type="noConversion"/>
  <printOptions gridLines="1"/>
  <pageMargins left="0.24" right="0.19" top="0.62" bottom="0.7" header="0.5" footer="0.5"/>
  <pageSetup scale="53" orientation="landscape" horizontalDpi="1200" verticalDpi="1200"/>
  <headerFooter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61"/>
  <sheetViews>
    <sheetView tabSelected="1" zoomScale="75" zoomScaleNormal="75" zoomScalePageLayoutView="75" workbookViewId="0">
      <selection activeCell="A13" sqref="A13:L54"/>
    </sheetView>
  </sheetViews>
  <sheetFormatPr baseColWidth="10" defaultColWidth="8.83203125" defaultRowHeight="12"/>
  <cols>
    <col min="1" max="1" width="11.33203125" customWidth="1"/>
    <col min="2" max="2" width="12.6640625" customWidth="1"/>
    <col min="3" max="3" width="12" customWidth="1"/>
    <col min="4" max="4" width="16" customWidth="1"/>
    <col min="5" max="5" width="10.6640625" customWidth="1"/>
    <col min="6" max="6" width="9.6640625" customWidth="1"/>
    <col min="7" max="7" width="9.83203125" customWidth="1"/>
    <col min="8" max="8" width="11.6640625" customWidth="1"/>
    <col min="9" max="9" width="12.5" customWidth="1"/>
    <col min="10" max="10" width="10.1640625" customWidth="1"/>
    <col min="11" max="11" width="9.6640625" customWidth="1"/>
    <col min="12" max="12" width="12" bestFit="1" customWidth="1"/>
    <col min="13" max="13" width="12.1640625" customWidth="1"/>
    <col min="14" max="14" width="10.33203125" customWidth="1"/>
  </cols>
  <sheetData>
    <row r="1" spans="1:15" ht="15.75" customHeight="1" thickBot="1">
      <c r="A1" s="30" t="s">
        <v>309</v>
      </c>
      <c r="G1" t="s">
        <v>238</v>
      </c>
      <c r="I1" s="211" t="str">
        <f ca="1">OFFSET('cycle4 AFTA filters 2'!$A$25,0,I2-1)</f>
        <v>W149</v>
      </c>
      <c r="J1" s="212"/>
    </row>
    <row r="2" spans="1:15" ht="13" customHeight="1" thickBot="1">
      <c r="A2" s="91" t="s">
        <v>334</v>
      </c>
      <c r="B2" s="91"/>
      <c r="C2" s="91"/>
      <c r="D2" s="91"/>
      <c r="E2" s="91"/>
      <c r="F2" s="91"/>
      <c r="G2" s="91"/>
      <c r="H2" s="91" t="s">
        <v>40</v>
      </c>
      <c r="I2" s="91">
        <v>5</v>
      </c>
      <c r="J2" s="91"/>
      <c r="K2" s="91"/>
      <c r="L2" s="91"/>
      <c r="M2" s="91"/>
      <c r="N2" s="91"/>
      <c r="O2" s="91"/>
    </row>
    <row r="3" spans="1:15" ht="14" thickBot="1">
      <c r="A3" s="91"/>
      <c r="B3" s="181" t="s">
        <v>310</v>
      </c>
      <c r="C3" s="181"/>
      <c r="D3" s="181" t="s">
        <v>333</v>
      </c>
      <c r="E3" s="207">
        <f ca="1">HLOOKUP($I$1,'cycle4 AFTA filters 2'!$B$25:$G$28,2)</f>
        <v>0.92714285714285716</v>
      </c>
      <c r="F3" s="128"/>
      <c r="G3" s="94"/>
      <c r="H3" s="213" t="s">
        <v>314</v>
      </c>
      <c r="I3" s="214"/>
      <c r="J3" s="214"/>
      <c r="K3" s="183" t="s">
        <v>323</v>
      </c>
      <c r="L3" s="93">
        <v>2.36</v>
      </c>
      <c r="M3" s="91" t="s">
        <v>237</v>
      </c>
      <c r="N3" s="91"/>
      <c r="O3" s="91"/>
    </row>
    <row r="4" spans="1:15" ht="13">
      <c r="A4" s="91"/>
      <c r="B4" s="181" t="s">
        <v>311</v>
      </c>
      <c r="C4" s="181"/>
      <c r="D4" s="155" t="s">
        <v>338</v>
      </c>
      <c r="E4" s="207">
        <f ca="1">HLOOKUP($I$1,'cycle4 AFTA filters 2'!$B$25:$G$28,3)</f>
        <v>2</v>
      </c>
      <c r="F4" s="128"/>
      <c r="G4" s="94"/>
      <c r="H4" s="213" t="s">
        <v>313</v>
      </c>
      <c r="I4" s="213"/>
      <c r="J4" s="213"/>
      <c r="K4" s="213"/>
      <c r="L4" s="204">
        <f>F5+F6</f>
        <v>5</v>
      </c>
      <c r="M4" s="91"/>
      <c r="N4" s="105" t="s">
        <v>321</v>
      </c>
      <c r="O4" s="97">
        <f>$L$3^2*PI()/4</f>
        <v>4.3743536108584271</v>
      </c>
    </row>
    <row r="5" spans="1:15" ht="58.25" customHeight="1">
      <c r="A5" s="215">
        <v>41777</v>
      </c>
      <c r="B5" s="216"/>
      <c r="C5" s="184"/>
      <c r="D5" s="156" t="s">
        <v>19</v>
      </c>
      <c r="E5" s="99" t="s">
        <v>306</v>
      </c>
      <c r="F5" s="129">
        <v>2</v>
      </c>
      <c r="G5" s="94"/>
      <c r="H5" s="213" t="s">
        <v>195</v>
      </c>
      <c r="I5" s="213"/>
      <c r="J5" s="213"/>
      <c r="K5" s="213"/>
      <c r="L5" s="96">
        <f>ImC!$L$5</f>
        <v>0</v>
      </c>
      <c r="M5" s="91" t="s">
        <v>236</v>
      </c>
      <c r="N5" s="91"/>
      <c r="O5" s="97">
        <f ca="1">$O$4*(1-$L$6^2-$L$7-$L$8)</f>
        <v>3.367814844999903</v>
      </c>
    </row>
    <row r="6" spans="1:15" ht="13">
      <c r="A6" s="91"/>
      <c r="B6" s="91"/>
      <c r="C6" s="91"/>
      <c r="D6" s="180" t="s">
        <v>20</v>
      </c>
      <c r="E6" s="100"/>
      <c r="F6" s="128">
        <v>3</v>
      </c>
      <c r="G6" s="94"/>
      <c r="H6" s="213" t="s">
        <v>315</v>
      </c>
      <c r="I6" s="213"/>
      <c r="J6" s="213"/>
      <c r="K6" s="213"/>
      <c r="L6" s="96">
        <v>0.31</v>
      </c>
      <c r="M6" s="91"/>
      <c r="N6" s="91"/>
      <c r="O6" s="97"/>
    </row>
    <row r="7" spans="1:15" ht="13">
      <c r="A7" s="154"/>
      <c r="B7" s="133"/>
      <c r="C7" s="133"/>
      <c r="D7" s="91" t="s">
        <v>333</v>
      </c>
      <c r="E7" s="209">
        <f ca="1">0.5*(E3+E4)</f>
        <v>1.4635714285714285</v>
      </c>
      <c r="F7" s="129"/>
      <c r="G7" s="91"/>
      <c r="H7" s="217" t="s">
        <v>235</v>
      </c>
      <c r="I7" s="217"/>
      <c r="J7" s="217"/>
      <c r="K7" s="217"/>
      <c r="L7" s="106">
        <v>5.3999999999999999E-2</v>
      </c>
      <c r="M7" s="91"/>
      <c r="N7" s="91"/>
      <c r="O7" s="91"/>
    </row>
    <row r="8" spans="1:15" ht="14" thickBot="1">
      <c r="A8" s="91" t="s">
        <v>248</v>
      </c>
      <c r="B8" s="91"/>
      <c r="C8" s="91"/>
      <c r="D8" s="91"/>
      <c r="E8" s="127">
        <f ca="1">1/E10</f>
        <v>1.3641810918774966</v>
      </c>
      <c r="F8" s="128"/>
      <c r="G8" s="102"/>
      <c r="H8" s="217" t="s">
        <v>234</v>
      </c>
      <c r="I8" s="217"/>
      <c r="J8" s="217"/>
      <c r="K8" s="217"/>
      <c r="L8" s="106">
        <f ca="1">OFFSET('cycle4 AFTA filters 2'!$A$25,4,'W149'!I2-1)</f>
        <v>0.08</v>
      </c>
      <c r="M8" s="91"/>
      <c r="N8" s="91"/>
      <c r="O8" s="91"/>
    </row>
    <row r="9" spans="1:15" ht="14" thickBot="1">
      <c r="A9" s="217" t="s">
        <v>312</v>
      </c>
      <c r="B9" s="218"/>
      <c r="C9" s="182"/>
      <c r="D9" s="181" t="s">
        <v>333</v>
      </c>
      <c r="E9" s="103">
        <f ca="1">(E4-E3)/41</f>
        <v>2.6167247386759584E-2</v>
      </c>
      <c r="F9" s="103"/>
      <c r="G9" s="91"/>
      <c r="H9" s="217" t="s">
        <v>317</v>
      </c>
      <c r="I9" s="217"/>
      <c r="J9" s="217"/>
      <c r="K9" s="181"/>
      <c r="L9" s="101">
        <v>0.02</v>
      </c>
      <c r="M9" s="91"/>
      <c r="N9" s="91"/>
      <c r="O9" s="91"/>
    </row>
    <row r="10" spans="1:15" ht="14.25" customHeight="1">
      <c r="A10" s="217" t="s">
        <v>316</v>
      </c>
      <c r="B10" s="218"/>
      <c r="C10" s="182"/>
      <c r="D10" s="182"/>
      <c r="E10" s="102">
        <f ca="1">(E4-E3)/((E3+E4)/2)</f>
        <v>0.73304050756466577</v>
      </c>
      <c r="F10" s="102"/>
      <c r="G10" s="91"/>
      <c r="H10" s="91"/>
      <c r="I10" s="91" t="s">
        <v>190</v>
      </c>
      <c r="J10" s="91"/>
      <c r="K10" s="104" t="s">
        <v>186</v>
      </c>
      <c r="L10" s="96">
        <v>0</v>
      </c>
      <c r="M10" s="91"/>
      <c r="N10" s="91"/>
      <c r="O10" s="91"/>
    </row>
    <row r="11" spans="1:15" ht="14.25" customHeight="1" thickBot="1">
      <c r="A11" s="219" t="s">
        <v>247</v>
      </c>
      <c r="B11" s="220"/>
      <c r="C11" s="220"/>
      <c r="D11" s="220"/>
      <c r="E11" s="102">
        <v>0.95</v>
      </c>
      <c r="F11" s="102"/>
      <c r="G11" s="91"/>
      <c r="H11" s="91"/>
      <c r="I11" s="91"/>
      <c r="J11" s="91"/>
      <c r="K11" s="91"/>
      <c r="L11" s="91" t="s">
        <v>342</v>
      </c>
      <c r="M11" s="91"/>
      <c r="N11" s="91"/>
      <c r="O11" s="91"/>
    </row>
    <row r="12" spans="1:15" ht="64.5" customHeight="1">
      <c r="A12" s="84" t="s">
        <v>165</v>
      </c>
      <c r="B12" s="85" t="s">
        <v>0</v>
      </c>
      <c r="C12" s="85" t="s">
        <v>18</v>
      </c>
      <c r="D12" s="85" t="s">
        <v>367</v>
      </c>
      <c r="E12" s="85" t="s">
        <v>196</v>
      </c>
      <c r="F12" s="85" t="s">
        <v>189</v>
      </c>
      <c r="G12" s="85" t="s">
        <v>191</v>
      </c>
      <c r="H12" s="85" t="s">
        <v>324</v>
      </c>
      <c r="I12" s="86" t="s">
        <v>325</v>
      </c>
      <c r="J12" s="85" t="s">
        <v>183</v>
      </c>
      <c r="K12" s="85" t="s">
        <v>341</v>
      </c>
      <c r="L12" s="85" t="s">
        <v>320</v>
      </c>
      <c r="N12" s="5" t="s">
        <v>322</v>
      </c>
    </row>
    <row r="13" spans="1:15" ht="15.75" customHeight="1">
      <c r="A13" s="78">
        <f ca="1">E3</f>
        <v>0.92714285714285716</v>
      </c>
      <c r="B13" s="83">
        <f ca="1">IF($A13&lt;&gt;"",IF($E$5="pAu",VLOOKUP(A13,pAg!$A$2:$C$47,3),VLOOKUP(A13,pAg!$O$3:$P1203,2)),"")</f>
        <v>0.97593822960909093</v>
      </c>
      <c r="C13" s="83">
        <f ca="1">VLOOKUP(A13,pAg!$A$7:$C$47,3)</f>
        <v>0.99</v>
      </c>
      <c r="D13" s="87">
        <f ca="1">IF($A13&lt;&gt;"",1-VLOOKUP($N13,'AR sim'!$E$10:$F$38,2)*'W149'!$E$10/'AR sim'!$D$42,"")</f>
        <v>0.96371449487554905</v>
      </c>
      <c r="E13" s="208">
        <f ca="1">VLOOKUP($A13,'cycle4 AFTA filters 2'!$A$34:$G$181,'W149'!$I$2)</f>
        <v>0.32922444786852156</v>
      </c>
      <c r="F13" s="87">
        <f>IF($L$10=1, IF($K$10="R",VLOOKUP($A13,dichroic!$F$5:$H$1232,3),VLOOKUP($A13,dichroic!$F$5:$H$1232,2)),1)</f>
        <v>1</v>
      </c>
      <c r="G13" s="83">
        <f ca="1">IF($A13&lt;&gt;"",$B13^$L$4*$D13^(2*($L$5))*$E13*$F13,"")</f>
        <v>0.29147662415482661</v>
      </c>
      <c r="H13" s="83">
        <f ca="1">IF($A13&lt;&gt;"",$B13^$F$5*$C13^$F$6,"")</f>
        <v>0.92416654934512654</v>
      </c>
      <c r="I13" s="83">
        <f t="shared" ref="I13:I54" ca="1" si="0">IF($A13&lt;&gt;"",$D13^(2*($L$5))*$E13,"")</f>
        <v>0.32922444786852156</v>
      </c>
      <c r="J13" s="89">
        <f t="shared" ref="J13:J54" ca="1" si="1">IF($A13&lt;&gt;"",(1-$L$9),"")</f>
        <v>0.98</v>
      </c>
      <c r="K13" s="46">
        <f ca="1">VLOOKUP($A13,'SWIR data'!$A$5:$K$795,11)/100</f>
        <v>0.7</v>
      </c>
      <c r="L13" s="90">
        <f t="shared" ref="L13:L54" ca="1" si="2">IF($A13&lt;&gt;"",G13*$K13*$J13*$O$5,"")</f>
        <v>0.67340456103417046</v>
      </c>
      <c r="N13" s="6">
        <f t="shared" ref="N13:N54" ca="1" si="3">($A13-$E$3)/($E$4-$E$3)</f>
        <v>0</v>
      </c>
    </row>
    <row r="14" spans="1:15" ht="15.75" customHeight="1">
      <c r="A14" s="79">
        <f t="shared" ref="A14:A54" ca="1" si="4">IF(A13&lt;&gt;"",IF(A13+$E$9&gt;$E$4,"",A13+$E$9),"")</f>
        <v>0.95331010452961673</v>
      </c>
      <c r="B14" s="83">
        <f ca="1">IF($A14&lt;&gt;"",IF($E$5="pAu",VLOOKUP(A14,pAg!$A$2:$C$47,3),VLOOKUP(A14,pAg!$O$3:$P1204,2)),"")</f>
        <v>0.97535511890454529</v>
      </c>
      <c r="C14" s="83">
        <f ca="1">VLOOKUP(A14,pAg!$A$7:$C$47,3)</f>
        <v>0.99</v>
      </c>
      <c r="D14" s="87">
        <f ca="1">IF($A14&lt;&gt;"",1-VLOOKUP($N14,'AR sim'!$E$10:$F$38,2)*'W149'!$E$10/'AR sim'!$D$42,"")</f>
        <v>0.96371449487554905</v>
      </c>
      <c r="E14" s="88">
        <f ca="1">VLOOKUP($A14,'cycle4 AFTA filters 2'!$A$34:$G$181,'W149'!$I$2)</f>
        <v>0.95</v>
      </c>
      <c r="F14" s="87">
        <f>IF($L$10=1, IF($K$10="R",VLOOKUP($A14,dichroic!$F$5:$H$1232,3),VLOOKUP($A14,dichroic!$F$5:$H$1232,2)),1)</f>
        <v>1</v>
      </c>
      <c r="G14" s="83">
        <f t="shared" ref="G14:G54" ca="1" si="5">IF($A14&lt;&gt;"",$B14^$L$4*$D14^(2*($L$5))*$E14*$F14,"")</f>
        <v>0.8385663736156026</v>
      </c>
      <c r="H14" s="83">
        <f t="shared" ref="H14:H54" ca="1" si="6">IF($A14&lt;&gt;"",$B14^$F$5*$C14^$F$6,"")</f>
        <v>0.92306252369888464</v>
      </c>
      <c r="I14" s="83">
        <f t="shared" ca="1" si="0"/>
        <v>0.95</v>
      </c>
      <c r="J14" s="89">
        <f t="shared" ca="1" si="1"/>
        <v>0.98</v>
      </c>
      <c r="K14" s="46">
        <f ca="1">VLOOKUP($A14,'SWIR data'!$A$5:$K$795,11)/100</f>
        <v>0.7</v>
      </c>
      <c r="L14" s="90">
        <f t="shared" ca="1" si="2"/>
        <v>1.9373574891641279</v>
      </c>
      <c r="N14" s="6">
        <f t="shared" ca="1" si="3"/>
        <v>2.4390243902439015E-2</v>
      </c>
    </row>
    <row r="15" spans="1:15" ht="16.5" customHeight="1">
      <c r="A15" s="79">
        <f t="shared" ca="1" si="4"/>
        <v>0.9794773519163763</v>
      </c>
      <c r="B15" s="83">
        <f ca="1">IF($A15&lt;&gt;"",IF($E$5="pAu",VLOOKUP(A15,pAg!$A$2:$C$47,3),VLOOKUP(A15,pAg!$O$3:$P1205,2)),"")</f>
        <v>0.97507503544999996</v>
      </c>
      <c r="C15" s="83">
        <f ca="1">VLOOKUP(A15,pAg!$A$7:$C$47,3)</f>
        <v>0.99</v>
      </c>
      <c r="D15" s="87">
        <f ca="1">IF($A15&lt;&gt;"",1-VLOOKUP($N15,'AR sim'!$E$10:$F$38,2)*'W149'!$E$10/'AR sim'!$D$42,"")</f>
        <v>0.97148996025935996</v>
      </c>
      <c r="E15" s="88">
        <f ca="1">VLOOKUP($A15,'cycle4 AFTA filters 2'!$A$34:$G$181,'W149'!$I$2)</f>
        <v>0.95</v>
      </c>
      <c r="F15" s="87">
        <f>IF($L$10=1, IF($K$10="R",VLOOKUP($A15,dichroic!$F$5:$H$1232,3),VLOOKUP($A15,dichroic!$F$5:$H$1232,2)),1)</f>
        <v>1</v>
      </c>
      <c r="G15" s="83">
        <f t="shared" ca="1" si="5"/>
        <v>0.83736304925188165</v>
      </c>
      <c r="H15" s="83">
        <f t="shared" ca="1" si="6"/>
        <v>0.92253246564118663</v>
      </c>
      <c r="I15" s="83">
        <f t="shared" ca="1" si="0"/>
        <v>0.95</v>
      </c>
      <c r="J15" s="89">
        <f t="shared" ca="1" si="1"/>
        <v>0.98</v>
      </c>
      <c r="K15" s="46">
        <f ca="1">VLOOKUP($A15,'SWIR data'!$A$5:$K$795,11)/100</f>
        <v>0.7</v>
      </c>
      <c r="L15" s="90">
        <f t="shared" ca="1" si="2"/>
        <v>1.9345774236364621</v>
      </c>
      <c r="N15" s="6">
        <f t="shared" ca="1" si="3"/>
        <v>4.878048780487803E-2</v>
      </c>
    </row>
    <row r="16" spans="1:15" ht="14.25" customHeight="1">
      <c r="A16" s="79">
        <f t="shared" ca="1" si="4"/>
        <v>1.005644599303136</v>
      </c>
      <c r="B16" s="83">
        <f ca="1">IF($A16&lt;&gt;"",IF($E$5="pAu",VLOOKUP(A16,pAg!$A$2:$C$47,3),VLOOKUP(A16,pAg!$O$3:$P1206,2)),"")</f>
        <v>0.97479892385454547</v>
      </c>
      <c r="C16" s="83">
        <f ca="1">VLOOKUP(A16,pAg!$A$7:$C$47,3)</f>
        <v>0.99</v>
      </c>
      <c r="D16" s="87">
        <f ca="1">IF($A16&lt;&gt;"",1-VLOOKUP($N16,'AR sim'!$E$10:$F$38,2)*'W149'!$E$10/'AR sim'!$D$42,"")</f>
        <v>0.97926542564317087</v>
      </c>
      <c r="E16" s="88">
        <f ca="1">VLOOKUP($A16,'cycle4 AFTA filters 2'!$A$34:$G$181,'W149'!$I$2)</f>
        <v>0.95</v>
      </c>
      <c r="F16" s="87">
        <f>IF($L$10=1, IF($K$10="R",VLOOKUP($A16,dichroic!$F$5:$H$1232,3),VLOOKUP($A16,dichroic!$F$5:$H$1232,2)),1)</f>
        <v>1</v>
      </c>
      <c r="G16" s="83">
        <f t="shared" ca="1" si="5"/>
        <v>0.83617814175573946</v>
      </c>
      <c r="H16" s="83">
        <f t="shared" ca="1" si="6"/>
        <v>0.92201007333918283</v>
      </c>
      <c r="I16" s="83">
        <f t="shared" ca="1" si="0"/>
        <v>0.95</v>
      </c>
      <c r="J16" s="89">
        <f t="shared" ca="1" si="1"/>
        <v>0.98</v>
      </c>
      <c r="K16" s="46">
        <f ca="1">VLOOKUP($A16,'SWIR data'!$A$5:$K$795,11)/100</f>
        <v>0.70083195556192535</v>
      </c>
      <c r="L16" s="90">
        <f t="shared" ca="1" si="2"/>
        <v>1.9341359140635099</v>
      </c>
      <c r="N16" s="6">
        <f t="shared" ca="1" si="3"/>
        <v>7.3170731707317152E-2</v>
      </c>
    </row>
    <row r="17" spans="1:14" ht="15">
      <c r="A17" s="79">
        <f t="shared" ca="1" si="4"/>
        <v>1.0318118466898956</v>
      </c>
      <c r="B17" s="83">
        <f ca="1">IF($A17&lt;&gt;"",IF($E$5="pAu",VLOOKUP(A17,pAg!$A$2:$C$47,3),VLOOKUP(A17,pAg!$O$3:$P1207,2)),"")</f>
        <v>0.97477764080454532</v>
      </c>
      <c r="C17" s="83">
        <f ca="1">VLOOKUP(A17,pAg!$A$7:$C$47,3)</f>
        <v>0.99</v>
      </c>
      <c r="D17" s="87">
        <f ca="1">IF($A17&lt;&gt;"",1-VLOOKUP($N17,'AR sim'!$E$10:$F$38,2)*'W149'!$E$10/'AR sim'!$D$42,"")</f>
        <v>0.97926542564317087</v>
      </c>
      <c r="E17" s="88">
        <f ca="1">VLOOKUP($A17,'cycle4 AFTA filters 2'!$A$34:$G$181,'W149'!$I$2)</f>
        <v>0.95</v>
      </c>
      <c r="F17" s="87">
        <f>IF($L$10=1, IF($K$10="R",VLOOKUP($A17,dichroic!$F$5:$H$1232,3),VLOOKUP($A17,dichroic!$F$5:$H$1232,2)),1)</f>
        <v>1</v>
      </c>
      <c r="G17" s="83">
        <f t="shared" ca="1" si="5"/>
        <v>0.83608686321781089</v>
      </c>
      <c r="H17" s="83">
        <f t="shared" ca="1" si="6"/>
        <v>0.92196981278535561</v>
      </c>
      <c r="I17" s="83">
        <f t="shared" ca="1" si="0"/>
        <v>0.95</v>
      </c>
      <c r="J17" s="89">
        <f t="shared" ca="1" si="1"/>
        <v>0.98</v>
      </c>
      <c r="K17" s="46">
        <f ca="1">VLOOKUP($A17,'SWIR data'!$A$5:$K$795,11)/100</f>
        <v>0.70971081970468008</v>
      </c>
      <c r="L17" s="90">
        <f t="shared" ca="1" si="2"/>
        <v>1.9584257402499448</v>
      </c>
      <c r="N17" s="6">
        <f t="shared" ca="1" si="3"/>
        <v>9.7560975609756156E-2</v>
      </c>
    </row>
    <row r="18" spans="1:14" ht="15">
      <c r="A18" s="79">
        <f t="shared" ca="1" si="4"/>
        <v>1.0579790940766551</v>
      </c>
      <c r="B18" s="83">
        <f ca="1">IF($A18&lt;&gt;"",IF($E$5="pAu",VLOOKUP(A18,pAg!$A$2:$C$47,3),VLOOKUP(A18,pAg!$O$3:$P1208,2)),"")</f>
        <v>0.97469560667272725</v>
      </c>
      <c r="C18" s="83">
        <f ca="1">VLOOKUP(A18,pAg!$A$7:$C$47,3)</f>
        <v>0.99</v>
      </c>
      <c r="D18" s="87">
        <f ca="1">IF($A18&lt;&gt;"",1-VLOOKUP($N18,'AR sim'!$E$10:$F$38,2)*'W149'!$E$10/'AR sim'!$D$42,"")</f>
        <v>0.98444906923237818</v>
      </c>
      <c r="E18" s="88">
        <f ca="1">VLOOKUP($A18,'cycle4 AFTA filters 2'!$A$34:$G$181,'W149'!$I$2)</f>
        <v>0.95</v>
      </c>
      <c r="F18" s="87">
        <f>IF($L$10=1, IF($K$10="R",VLOOKUP($A18,dichroic!$F$5:$H$1232,3),VLOOKUP($A18,dichroic!$F$5:$H$1232,2)),1)</f>
        <v>1</v>
      </c>
      <c r="G18" s="83">
        <f t="shared" ca="1" si="5"/>
        <v>0.83573511060358163</v>
      </c>
      <c r="H18" s="83">
        <f t="shared" ca="1" si="6"/>
        <v>0.92181463932327667</v>
      </c>
      <c r="I18" s="83">
        <f t="shared" ca="1" si="0"/>
        <v>0.95</v>
      </c>
      <c r="J18" s="89">
        <f t="shared" ca="1" si="1"/>
        <v>0.98</v>
      </c>
      <c r="K18" s="46">
        <f ca="1">VLOOKUP($A18,'SWIR data'!$A$5:$K$795,11)/100</f>
        <v>0.71844823393109269</v>
      </c>
      <c r="L18" s="90">
        <f t="shared" ca="1" si="2"/>
        <v>1.9817022941589282</v>
      </c>
      <c r="N18" s="6">
        <f t="shared" ca="1" si="3"/>
        <v>0.12195121951219517</v>
      </c>
    </row>
    <row r="19" spans="1:14" ht="15">
      <c r="A19" s="79">
        <f t="shared" ca="1" si="4"/>
        <v>1.0841463414634147</v>
      </c>
      <c r="B19" s="83">
        <f ca="1">IF($A19&lt;&gt;"",IF($E$5="pAu",VLOOKUP(A19,pAg!$A$2:$C$47,3),VLOOKUP(A19,pAg!$O$3:$P1209,2)),"")</f>
        <v>0.97477171422272746</v>
      </c>
      <c r="C19" s="83">
        <f ca="1">VLOOKUP(A19,pAg!$A$7:$C$47,3)</f>
        <v>0.99</v>
      </c>
      <c r="D19" s="87">
        <f ca="1">IF($A19&lt;&gt;"",1-VLOOKUP($N19,'AR sim'!$E$10:$F$38,2)*'W149'!$E$10/'AR sim'!$D$42,"")</f>
        <v>0.98963271282158538</v>
      </c>
      <c r="E19" s="88">
        <f ca="1">VLOOKUP($A19,'cycle4 AFTA filters 2'!$A$34:$G$181,'W149'!$I$2)</f>
        <v>0.95</v>
      </c>
      <c r="F19" s="87">
        <f>IF($L$10=1, IF($K$10="R",VLOOKUP($A19,dichroic!$F$5:$H$1232,3),VLOOKUP($A19,dichroic!$F$5:$H$1232,2)),1)</f>
        <v>1</v>
      </c>
      <c r="G19" s="83">
        <f t="shared" ca="1" si="5"/>
        <v>0.83606144677030103</v>
      </c>
      <c r="H19" s="83">
        <f t="shared" ca="1" si="6"/>
        <v>0.92195860179181288</v>
      </c>
      <c r="I19" s="83">
        <f t="shared" ca="1" si="0"/>
        <v>0.95</v>
      </c>
      <c r="J19" s="89">
        <f t="shared" ca="1" si="1"/>
        <v>0.98</v>
      </c>
      <c r="K19" s="46">
        <f ca="1">VLOOKUP($A19,'SWIR data'!$A$5:$K$795,11)/100</f>
        <v>0.7277907657764735</v>
      </c>
      <c r="L19" s="90">
        <f t="shared" ca="1" si="2"/>
        <v>2.0082557582570653</v>
      </c>
      <c r="N19" s="6">
        <f t="shared" ca="1" si="3"/>
        <v>0.14634146341463419</v>
      </c>
    </row>
    <row r="20" spans="1:14" ht="15">
      <c r="A20" s="79">
        <f t="shared" ca="1" si="4"/>
        <v>1.1103135888501743</v>
      </c>
      <c r="B20" s="83">
        <f ca="1">IF($A20&lt;&gt;"",IF($E$5="pAu",VLOOKUP(A20,pAg!$A$2:$C$47,3),VLOOKUP(A20,pAg!$O$3:$P1210,2)),"")</f>
        <v>0.97484741653636364</v>
      </c>
      <c r="C20" s="83">
        <f ca="1">VLOOKUP(A20,pAg!$A$7:$C$47,3)</f>
        <v>0.99</v>
      </c>
      <c r="D20" s="87">
        <f ca="1">IF($A20&lt;&gt;"",1-VLOOKUP($N20,'AR sim'!$E$10:$F$38,2)*'W149'!$E$10/'AR sim'!$D$42,"")</f>
        <v>0.98963271282158538</v>
      </c>
      <c r="E20" s="88">
        <f ca="1">VLOOKUP($A20,'cycle4 AFTA filters 2'!$A$34:$G$181,'W149'!$I$2)</f>
        <v>0.95</v>
      </c>
      <c r="F20" s="87">
        <f>IF($L$10=1, IF($K$10="R",VLOOKUP($A20,dichroic!$F$5:$H$1232,3),VLOOKUP($A20,dichroic!$F$5:$H$1232,2)),1)</f>
        <v>1</v>
      </c>
      <c r="G20" s="83">
        <f t="shared" ca="1" si="5"/>
        <v>0.83638614647374354</v>
      </c>
      <c r="H20" s="83">
        <f t="shared" ca="1" si="6"/>
        <v>0.92210180887996651</v>
      </c>
      <c r="I20" s="83">
        <f t="shared" ca="1" si="0"/>
        <v>0.95</v>
      </c>
      <c r="J20" s="89">
        <f t="shared" ca="1" si="1"/>
        <v>0.98</v>
      </c>
      <c r="K20" s="46">
        <f ca="1">VLOOKUP($A20,'SWIR data'!$A$5:$K$795,11)/100</f>
        <v>0.73756623821984557</v>
      </c>
      <c r="L20" s="90">
        <f t="shared" ca="1" si="2"/>
        <v>2.0360204802092552</v>
      </c>
      <c r="N20" s="6">
        <f t="shared" ca="1" si="3"/>
        <v>0.17073170731707321</v>
      </c>
    </row>
    <row r="21" spans="1:14" ht="15">
      <c r="A21" s="79">
        <f t="shared" ca="1" si="4"/>
        <v>1.1364808362369339</v>
      </c>
      <c r="B21" s="83">
        <f ca="1">IF($A21&lt;&gt;"",IF($E$5="pAu",VLOOKUP(A21,pAg!$A$2:$C$47,3),VLOOKUP(A21,pAg!$O$3:$P1211,2)),"")</f>
        <v>0.97517387151363621</v>
      </c>
      <c r="C21" s="83">
        <f ca="1">VLOOKUP(A21,pAg!$A$7:$C$47,3)</f>
        <v>0.99</v>
      </c>
      <c r="D21" s="87">
        <f ca="1">IF($A21&lt;&gt;"",1-VLOOKUP($N21,'AR sim'!$E$10:$F$38,2)*'W149'!$E$10/'AR sim'!$D$42,"")</f>
        <v>0.99028066827023642</v>
      </c>
      <c r="E21" s="88">
        <f ca="1">VLOOKUP($A21,'cycle4 AFTA filters 2'!$A$34:$G$181,'W149'!$I$2)</f>
        <v>0.95</v>
      </c>
      <c r="F21" s="87">
        <f>IF($L$10=1, IF($K$10="R",VLOOKUP($A21,dichroic!$F$5:$H$1232,3),VLOOKUP($A21,dichroic!$F$5:$H$1232,2)),1)</f>
        <v>1</v>
      </c>
      <c r="G21" s="83">
        <f t="shared" ca="1" si="5"/>
        <v>0.83778752144210433</v>
      </c>
      <c r="H21" s="83">
        <f t="shared" ca="1" si="6"/>
        <v>0.92271949555223221</v>
      </c>
      <c r="I21" s="83">
        <f t="shared" ca="1" si="0"/>
        <v>0.95</v>
      </c>
      <c r="J21" s="89">
        <f t="shared" ca="1" si="1"/>
        <v>0.98</v>
      </c>
      <c r="K21" s="46">
        <f ca="1">VLOOKUP($A21,'SWIR data'!$A$5:$K$795,11)/100</f>
        <v>0.74890535013684656</v>
      </c>
      <c r="L21" s="90">
        <f t="shared" ca="1" si="2"/>
        <v>2.0707854422633409</v>
      </c>
      <c r="N21" s="6">
        <f t="shared" ca="1" si="3"/>
        <v>0.19512195121951223</v>
      </c>
    </row>
    <row r="22" spans="1:14" ht="15">
      <c r="A22" s="79">
        <f t="shared" ca="1" si="4"/>
        <v>1.1626480836236934</v>
      </c>
      <c r="B22" s="83">
        <f ca="1">IF($A22&lt;&gt;"",IF($E$5="pAu",VLOOKUP(A22,pAg!$A$2:$C$47,3),VLOOKUP(A22,pAg!$O$3:$P1212,2)),"")</f>
        <v>0.97536950570000014</v>
      </c>
      <c r="C22" s="83">
        <f ca="1">VLOOKUP(A22,pAg!$A$7:$C$47,3)</f>
        <v>0.99</v>
      </c>
      <c r="D22" s="87">
        <f ca="1">IF($A22&lt;&gt;"",1-VLOOKUP($N22,'AR sim'!$E$10:$F$38,2)*'W149'!$E$10/'AR sim'!$D$42,"")</f>
        <v>0.99092862371888735</v>
      </c>
      <c r="E22" s="88">
        <f ca="1">VLOOKUP($A22,'cycle4 AFTA filters 2'!$A$34:$G$181,'W149'!$I$2)</f>
        <v>0.95</v>
      </c>
      <c r="F22" s="87">
        <f>IF($L$10=1, IF($K$10="R",VLOOKUP($A22,dichroic!$F$5:$H$1232,3),VLOOKUP($A22,dichroic!$F$5:$H$1232,2)),1)</f>
        <v>1</v>
      </c>
      <c r="G22" s="83">
        <f t="shared" ca="1" si="5"/>
        <v>0.8386282210318301</v>
      </c>
      <c r="H22" s="83">
        <f t="shared" ca="1" si="6"/>
        <v>0.92308975482610078</v>
      </c>
      <c r="I22" s="83">
        <f t="shared" ca="1" si="0"/>
        <v>0.95</v>
      </c>
      <c r="J22" s="89">
        <f t="shared" ca="1" si="1"/>
        <v>0.98</v>
      </c>
      <c r="K22" s="46">
        <f ca="1">VLOOKUP($A22,'SWIR data'!$A$5:$K$795,11)/100</f>
        <v>0.75912909620455449</v>
      </c>
      <c r="L22" s="90">
        <f t="shared" ca="1" si="2"/>
        <v>2.101161299635117</v>
      </c>
      <c r="N22" s="6">
        <f t="shared" ca="1" si="3"/>
        <v>0.21951219512195122</v>
      </c>
    </row>
    <row r="23" spans="1:14" ht="15">
      <c r="A23" s="79">
        <f t="shared" ca="1" si="4"/>
        <v>1.188815331010453</v>
      </c>
      <c r="B23" s="83">
        <f ca="1">IF($A23&lt;&gt;"",IF($E$5="pAu",VLOOKUP(A23,pAg!$A$2:$C$47,3),VLOOKUP(A23,pAg!$O$3:$P1213,2)),"")</f>
        <v>0.97566259018636359</v>
      </c>
      <c r="C23" s="83">
        <f ca="1">VLOOKUP(A23,pAg!$A$7:$C$47,3)</f>
        <v>0.99</v>
      </c>
      <c r="D23" s="87">
        <f ca="1">IF($A23&lt;&gt;"",1-VLOOKUP($N23,'AR sim'!$E$10:$F$38,2)*'W149'!$E$10/'AR sim'!$D$42,"")</f>
        <v>0.99092862371888735</v>
      </c>
      <c r="E23" s="88">
        <f ca="1">VLOOKUP($A23,'cycle4 AFTA filters 2'!$A$34:$G$181,'W149'!$I$2)</f>
        <v>0.95</v>
      </c>
      <c r="F23" s="87">
        <f>IF($L$10=1, IF($K$10="R",VLOOKUP($A23,dichroic!$F$5:$H$1232,3),VLOOKUP($A23,dichroic!$F$5:$H$1232,2)),1)</f>
        <v>1</v>
      </c>
      <c r="G23" s="83">
        <f t="shared" ca="1" si="5"/>
        <v>0.83988895697049959</v>
      </c>
      <c r="H23" s="83">
        <f t="shared" ca="1" si="6"/>
        <v>0.92364458852196585</v>
      </c>
      <c r="I23" s="83">
        <f t="shared" ca="1" si="0"/>
        <v>0.95</v>
      </c>
      <c r="J23" s="89">
        <f t="shared" ca="1" si="1"/>
        <v>0.98</v>
      </c>
      <c r="K23" s="46">
        <f ca="1">VLOOKUP($A23,'SWIR data'!$A$5:$K$795,11)/100</f>
        <v>0.7693844261494861</v>
      </c>
      <c r="L23" s="90">
        <f t="shared" ca="1" si="2"/>
        <v>2.1327480071486056</v>
      </c>
      <c r="N23" s="6">
        <f t="shared" ca="1" si="3"/>
        <v>0.24390243902439024</v>
      </c>
    </row>
    <row r="24" spans="1:14" ht="15">
      <c r="A24" s="79">
        <f t="shared" ca="1" si="4"/>
        <v>1.2149825783972126</v>
      </c>
      <c r="B24" s="83">
        <f ca="1">IF($A24&lt;&gt;"",IF($E$5="pAu",VLOOKUP(A24,pAg!$A$2:$C$47,3),VLOOKUP(A24,pAg!$O$3:$P1214,2)),"")</f>
        <v>0.97595747652727272</v>
      </c>
      <c r="C24" s="83">
        <f ca="1">VLOOKUP(A24,pAg!$A$7:$C$47,3)</f>
        <v>0.99</v>
      </c>
      <c r="D24" s="87">
        <f ca="1">IF($A24&lt;&gt;"",1-VLOOKUP($N24,'AR sim'!$E$10:$F$38,2)*'W149'!$E$10/'AR sim'!$D$42,"")</f>
        <v>0.99157657916753827</v>
      </c>
      <c r="E24" s="88">
        <f ca="1">VLOOKUP($A24,'cycle4 AFTA filters 2'!$A$34:$G$181,'W149'!$I$2)</f>
        <v>0.95</v>
      </c>
      <c r="F24" s="87">
        <f>IF($L$10=1, IF($K$10="R",VLOOKUP($A24,dichroic!$F$5:$H$1232,3),VLOOKUP($A24,dichroic!$F$5:$H$1232,2)),1)</f>
        <v>1</v>
      </c>
      <c r="G24" s="83">
        <f t="shared" ca="1" si="5"/>
        <v>0.84115897358656422</v>
      </c>
      <c r="H24" s="83">
        <f t="shared" ca="1" si="6"/>
        <v>0.92420300151559842</v>
      </c>
      <c r="I24" s="83">
        <f t="shared" ca="1" si="0"/>
        <v>0.95</v>
      </c>
      <c r="J24" s="89">
        <f t="shared" ca="1" si="1"/>
        <v>0.98</v>
      </c>
      <c r="K24" s="46">
        <f ca="1">VLOOKUP($A24,'SWIR data'!$A$5:$K$795,11)/100</f>
        <v>0.77955115336793812</v>
      </c>
      <c r="L24" s="90">
        <f t="shared" ca="1" si="2"/>
        <v>2.16419796059995</v>
      </c>
      <c r="N24" s="6">
        <f t="shared" ca="1" si="3"/>
        <v>0.26829268292682928</v>
      </c>
    </row>
    <row r="25" spans="1:14" ht="15">
      <c r="A25" s="79">
        <f t="shared" ca="1" si="4"/>
        <v>1.2411498257839721</v>
      </c>
      <c r="B25" s="83">
        <f ca="1">IF($A25&lt;&gt;"",IF($E$5="pAu",VLOOKUP(A25,pAg!$A$2:$C$47,3),VLOOKUP(A25,pAg!$O$3:$P1215,2)),"")</f>
        <v>0.97630360627272728</v>
      </c>
      <c r="C25" s="83">
        <f ca="1">VLOOKUP(A25,pAg!$A$7:$C$47,3)</f>
        <v>0.99</v>
      </c>
      <c r="D25" s="87">
        <f ca="1">IF($A25&lt;&gt;"",1-VLOOKUP($N25,'AR sim'!$E$10:$F$38,2)*'W149'!$E$10/'AR sim'!$D$42,"")</f>
        <v>0.9922245346161892</v>
      </c>
      <c r="E25" s="88">
        <f ca="1">VLOOKUP($A25,'cycle4 AFTA filters 2'!$A$34:$G$181,'W149'!$I$2)</f>
        <v>0.95</v>
      </c>
      <c r="F25" s="87">
        <f>IF($L$10=1, IF($K$10="R",VLOOKUP($A25,dichroic!$F$5:$H$1232,3),VLOOKUP($A25,dichroic!$F$5:$H$1232,2)),1)</f>
        <v>1</v>
      </c>
      <c r="G25" s="83">
        <f t="shared" ca="1" si="5"/>
        <v>0.84265164482638155</v>
      </c>
      <c r="H25" s="83">
        <f t="shared" ca="1" si="6"/>
        <v>0.92485866712325315</v>
      </c>
      <c r="I25" s="83">
        <f t="shared" ca="1" si="0"/>
        <v>0.95</v>
      </c>
      <c r="J25" s="89">
        <f t="shared" ca="1" si="1"/>
        <v>0.98</v>
      </c>
      <c r="K25" s="46">
        <f ca="1">VLOOKUP($A25,'SWIR data'!$A$5:$K$795,11)/100</f>
        <v>0.79080410469538309</v>
      </c>
      <c r="L25" s="90">
        <f t="shared" ca="1" si="2"/>
        <v>2.1993344163266362</v>
      </c>
      <c r="N25" s="6">
        <f t="shared" ca="1" si="3"/>
        <v>0.29268292682926828</v>
      </c>
    </row>
    <row r="26" spans="1:14" ht="15">
      <c r="A26" s="79">
        <f t="shared" ca="1" si="4"/>
        <v>1.2673170731707317</v>
      </c>
      <c r="B26" s="83">
        <f ca="1">IF($A26&lt;&gt;"",IF($E$5="pAu",VLOOKUP(A26,pAg!$A$2:$C$47,3),VLOOKUP(A26,pAg!$O$3:$P1216,2)),"")</f>
        <v>0.97666569672272718</v>
      </c>
      <c r="C26" s="83">
        <f ca="1">VLOOKUP(A26,pAg!$A$7:$C$47,3)</f>
        <v>0.99</v>
      </c>
      <c r="D26" s="87">
        <f ca="1">IF($A26&lt;&gt;"",1-VLOOKUP($N26,'AR sim'!$E$10:$F$38,2)*'W149'!$E$10/'AR sim'!$D$42,"")</f>
        <v>0.9922245346161892</v>
      </c>
      <c r="E26" s="88">
        <f ca="1">VLOOKUP($A26,'cycle4 AFTA filters 2'!$A$34:$G$181,'W149'!$I$2)</f>
        <v>0.95</v>
      </c>
      <c r="F26" s="87">
        <f>IF($L$10=1, IF($K$10="R",VLOOKUP($A26,dichroic!$F$5:$H$1232,3),VLOOKUP($A26,dichroic!$F$5:$H$1232,2)),1)</f>
        <v>1</v>
      </c>
      <c r="G26" s="83">
        <f t="shared" ca="1" si="5"/>
        <v>0.84421541309243997</v>
      </c>
      <c r="H26" s="83">
        <f t="shared" ca="1" si="6"/>
        <v>0.92554481554930668</v>
      </c>
      <c r="I26" s="83">
        <f t="shared" ca="1" si="0"/>
        <v>0.95</v>
      </c>
      <c r="J26" s="89">
        <f t="shared" ca="1" si="1"/>
        <v>0.98</v>
      </c>
      <c r="K26" s="46">
        <f ca="1">VLOOKUP($A26,'SWIR data'!$A$5:$K$795,11)/100</f>
        <v>0.80053720908956238</v>
      </c>
      <c r="L26" s="90">
        <f t="shared" ca="1" si="2"/>
        <v>2.2305352058621559</v>
      </c>
      <c r="N26" s="6">
        <f t="shared" ca="1" si="3"/>
        <v>0.31707317073170727</v>
      </c>
    </row>
    <row r="27" spans="1:14" ht="15">
      <c r="A27" s="79">
        <f t="shared" ca="1" si="4"/>
        <v>1.2934843205574913</v>
      </c>
      <c r="B27" s="83">
        <f ca="1">IF($A27&lt;&gt;"",IF($E$5="pAu",VLOOKUP(A27,pAg!$A$2:$C$47,3),VLOOKUP(A27,pAg!$O$3:$P1217,2)),"")</f>
        <v>0.9769997643545455</v>
      </c>
      <c r="C27" s="83">
        <f ca="1">VLOOKUP(A27,pAg!$A$7:$C$47,3)</f>
        <v>0.99</v>
      </c>
      <c r="D27" s="87">
        <f ca="1">IF($A27&lt;&gt;"",1-VLOOKUP($N27,'AR sim'!$E$10:$F$38,2)*'W149'!$E$10/'AR sim'!$D$42,"")</f>
        <v>0.99092862371888735</v>
      </c>
      <c r="E27" s="88">
        <f ca="1">VLOOKUP($A27,'cycle4 AFTA filters 2'!$A$34:$G$181,'W149'!$I$2)</f>
        <v>0.95</v>
      </c>
      <c r="F27" s="87">
        <f>IF($L$10=1, IF($K$10="R",VLOOKUP($A27,dichroic!$F$5:$H$1232,3),VLOOKUP($A27,dichroic!$F$5:$H$1232,2)),1)</f>
        <v>1</v>
      </c>
      <c r="G27" s="83">
        <f t="shared" ca="1" si="5"/>
        <v>0.8456602167933237</v>
      </c>
      <c r="H27" s="83">
        <f t="shared" ca="1" si="6"/>
        <v>0.92617808739569729</v>
      </c>
      <c r="I27" s="83">
        <f t="shared" ca="1" si="0"/>
        <v>0.95</v>
      </c>
      <c r="J27" s="89">
        <f t="shared" ca="1" si="1"/>
        <v>0.98</v>
      </c>
      <c r="K27" s="46">
        <f ca="1">VLOOKUP($A27,'SWIR data'!$A$5:$K$795,11)/100</f>
        <v>0.80997757221428945</v>
      </c>
      <c r="L27" s="90">
        <f t="shared" ca="1" si="2"/>
        <v>2.2607012605146997</v>
      </c>
      <c r="N27" s="6">
        <f t="shared" ca="1" si="3"/>
        <v>0.34146341463414631</v>
      </c>
    </row>
    <row r="28" spans="1:14" ht="15">
      <c r="A28" s="79">
        <f t="shared" ca="1" si="4"/>
        <v>1.3196515679442509</v>
      </c>
      <c r="B28" s="83">
        <f ca="1">IF($A28&lt;&gt;"",IF($E$5="pAu",VLOOKUP(A28,pAg!$A$2:$C$47,3),VLOOKUP(A28,pAg!$O$3:$P1218,2)),"")</f>
        <v>0.97733646421363629</v>
      </c>
      <c r="C28" s="83">
        <f ca="1">VLOOKUP(A28,pAg!$A$7:$C$47,3)</f>
        <v>0.99</v>
      </c>
      <c r="D28" s="87">
        <f ca="1">IF($A28&lt;&gt;"",1-VLOOKUP($N28,'AR sim'!$E$10:$F$38,2)*'W149'!$E$10/'AR sim'!$D$42,"")</f>
        <v>0.98963271282158538</v>
      </c>
      <c r="E28" s="88">
        <f ca="1">VLOOKUP($A28,'cycle4 AFTA filters 2'!$A$34:$G$181,'W149'!$I$2)</f>
        <v>0.95</v>
      </c>
      <c r="F28" s="87">
        <f>IF($L$10=1, IF($K$10="R",VLOOKUP($A28,dichroic!$F$5:$H$1232,3),VLOOKUP($A28,dichroic!$F$5:$H$1232,2)),1)</f>
        <v>1</v>
      </c>
      <c r="G28" s="83">
        <f t="shared" ca="1" si="5"/>
        <v>0.8471184054609523</v>
      </c>
      <c r="H28" s="83">
        <f t="shared" ca="1" si="6"/>
        <v>0.9268165681358842</v>
      </c>
      <c r="I28" s="83">
        <f t="shared" ca="1" si="0"/>
        <v>0.95</v>
      </c>
      <c r="J28" s="89">
        <f t="shared" ca="1" si="1"/>
        <v>0.98</v>
      </c>
      <c r="K28" s="46">
        <f ca="1">VLOOKUP($A28,'SWIR data'!$A$5:$K$795,11)/100</f>
        <v>0.8201587302744181</v>
      </c>
      <c r="L28" s="90">
        <f t="shared" ca="1" si="2"/>
        <v>2.2930647203661034</v>
      </c>
      <c r="N28" s="6">
        <f t="shared" ca="1" si="3"/>
        <v>0.3658536585365853</v>
      </c>
    </row>
    <row r="29" spans="1:14" ht="15">
      <c r="A29" s="79">
        <f t="shared" ca="1" si="4"/>
        <v>1.3458188153310104</v>
      </c>
      <c r="B29" s="83">
        <f ca="1">IF($A29&lt;&gt;"",IF($E$5="pAu",VLOOKUP(A29,pAg!$A$2:$C$47,3),VLOOKUP(A29,pAg!$O$3:$P1219,2)),"")</f>
        <v>0.97768653325454546</v>
      </c>
      <c r="C29" s="83">
        <f ca="1">VLOOKUP(A29,pAg!$A$7:$C$47,3)</f>
        <v>0.99</v>
      </c>
      <c r="D29" s="87">
        <f ca="1">IF($A29&lt;&gt;"",1-VLOOKUP($N29,'AR sim'!$E$10:$F$38,2)*'W149'!$E$10/'AR sim'!$D$42,"")</f>
        <v>0.98963271282158538</v>
      </c>
      <c r="E29" s="88">
        <f ca="1">VLOOKUP($A29,'cycle4 AFTA filters 2'!$A$34:$G$181,'W149'!$I$2)</f>
        <v>0.95</v>
      </c>
      <c r="F29" s="87">
        <f>IF($L$10=1, IF($K$10="R",VLOOKUP($A29,dichroic!$F$5:$H$1232,3),VLOOKUP($A29,dichroic!$F$5:$H$1232,2)),1)</f>
        <v>1</v>
      </c>
      <c r="G29" s="83">
        <f t="shared" ca="1" si="5"/>
        <v>0.84863662592678557</v>
      </c>
      <c r="H29" s="83">
        <f t="shared" ca="1" si="6"/>
        <v>0.92748063400430747</v>
      </c>
      <c r="I29" s="83">
        <f t="shared" ca="1" si="0"/>
        <v>0.95</v>
      </c>
      <c r="J29" s="89">
        <f t="shared" ca="1" si="1"/>
        <v>0.98</v>
      </c>
      <c r="K29" s="46">
        <f ca="1">VLOOKUP($A29,'SWIR data'!$A$5:$K$795,11)/100</f>
        <v>0.82880059349466906</v>
      </c>
      <c r="L29" s="90">
        <f t="shared" ca="1" si="2"/>
        <v>2.3213792995104607</v>
      </c>
      <c r="N29" s="6">
        <f t="shared" ca="1" si="3"/>
        <v>0.39024390243902435</v>
      </c>
    </row>
    <row r="30" spans="1:14" ht="15">
      <c r="A30" s="79">
        <f t="shared" ca="1" si="4"/>
        <v>1.37198606271777</v>
      </c>
      <c r="B30" s="83">
        <f ca="1">IF($A30&lt;&gt;"",IF($E$5="pAu",VLOOKUP(A30,pAg!$A$2:$C$47,3),VLOOKUP(A30,pAg!$O$3:$P1220,2)),"")</f>
        <v>0.97796783875000004</v>
      </c>
      <c r="C30" s="83">
        <f ca="1">VLOOKUP(A30,pAg!$A$7:$C$47,3)</f>
        <v>0.99</v>
      </c>
      <c r="D30" s="87">
        <f ca="1">IF($A30&lt;&gt;"",1-VLOOKUP($N30,'AR sim'!$E$10:$F$38,2)*'W149'!$E$10/'AR sim'!$D$42,"")</f>
        <v>0.98833680192428364</v>
      </c>
      <c r="E30" s="88">
        <f ca="1">VLOOKUP($A30,'cycle4 AFTA filters 2'!$A$34:$G$181,'W149'!$I$2)</f>
        <v>0.95</v>
      </c>
      <c r="F30" s="87">
        <f>IF($L$10=1, IF($K$10="R",VLOOKUP($A30,dichroic!$F$5:$H$1232,3),VLOOKUP($A30,dichroic!$F$5:$H$1232,2)),1)</f>
        <v>1</v>
      </c>
      <c r="G30" s="83">
        <f t="shared" ca="1" si="5"/>
        <v>0.84985820131520073</v>
      </c>
      <c r="H30" s="83">
        <f t="shared" ca="1" si="6"/>
        <v>0.92801443072746082</v>
      </c>
      <c r="I30" s="83">
        <f t="shared" ca="1" si="0"/>
        <v>0.95</v>
      </c>
      <c r="J30" s="89">
        <f t="shared" ca="1" si="1"/>
        <v>0.98</v>
      </c>
      <c r="K30" s="46">
        <f ca="1">VLOOKUP($A30,'SWIR data'!$A$5:$K$795,11)/100</f>
        <v>0.83700832931922486</v>
      </c>
      <c r="L30" s="90">
        <f t="shared" ca="1" si="2"/>
        <v>2.3477428805641662</v>
      </c>
      <c r="N30" s="6">
        <f t="shared" ca="1" si="3"/>
        <v>0.41463414634146334</v>
      </c>
    </row>
    <row r="31" spans="1:14" ht="15">
      <c r="A31" s="79">
        <f t="shared" ca="1" si="4"/>
        <v>1.3981533101045296</v>
      </c>
      <c r="B31" s="83">
        <f ca="1">IF($A31&lt;&gt;"",IF($E$5="pAu",VLOOKUP(A31,pAg!$A$2:$C$47,3),VLOOKUP(A31,pAg!$O$3:$P1221,2)),"")</f>
        <v>0.97833228463636357</v>
      </c>
      <c r="C31" s="83">
        <f ca="1">VLOOKUP(A31,pAg!$A$7:$C$47,3)</f>
        <v>0.99</v>
      </c>
      <c r="D31" s="87">
        <f ca="1">IF($A31&lt;&gt;"",1-VLOOKUP($N31,'AR sim'!$E$10:$F$38,2)*'W149'!$E$10/'AR sim'!$D$42,"")</f>
        <v>0.98704089102698189</v>
      </c>
      <c r="E31" s="88">
        <f ca="1">VLOOKUP($A31,'cycle4 AFTA filters 2'!$A$34:$G$181,'W149'!$I$2)</f>
        <v>0.95</v>
      </c>
      <c r="F31" s="87">
        <f>IF($L$10=1, IF($K$10="R",VLOOKUP($A31,dichroic!$F$5:$H$1232,3),VLOOKUP($A31,dichroic!$F$5:$H$1232,2)),1)</f>
        <v>1</v>
      </c>
      <c r="G31" s="83">
        <f t="shared" ca="1" si="5"/>
        <v>0.85144290708417458</v>
      </c>
      <c r="H31" s="83">
        <f t="shared" ca="1" si="6"/>
        <v>0.92870622047064177</v>
      </c>
      <c r="I31" s="83">
        <f t="shared" ca="1" si="0"/>
        <v>0.95</v>
      </c>
      <c r="J31" s="89">
        <f t="shared" ca="1" si="1"/>
        <v>0.98</v>
      </c>
      <c r="K31" s="46">
        <f ca="1">VLOOKUP($A31,'SWIR data'!$A$5:$K$795,11)/100</f>
        <v>0.84477790980428846</v>
      </c>
      <c r="L31" s="90">
        <f t="shared" ca="1" si="2"/>
        <v>2.3739543504524208</v>
      </c>
      <c r="N31" s="6">
        <f t="shared" ca="1" si="3"/>
        <v>0.43902439024390238</v>
      </c>
    </row>
    <row r="32" spans="1:14" ht="15">
      <c r="A32" s="79">
        <f t="shared" ca="1" si="4"/>
        <v>1.4243205574912892</v>
      </c>
      <c r="B32" s="83">
        <f ca="1">IF($A32&lt;&gt;"",IF($E$5="pAu",VLOOKUP(A32,pAg!$A$2:$C$47,3),VLOOKUP(A32,pAg!$O$3:$P1222,2)),"")</f>
        <v>0.97850715860000004</v>
      </c>
      <c r="C32" s="83">
        <f ca="1">VLOOKUP(A32,pAg!$A$7:$C$47,3)</f>
        <v>0.99</v>
      </c>
      <c r="D32" s="87">
        <f ca="1">IF($A32&lt;&gt;"",1-VLOOKUP($N32,'AR sim'!$E$10:$F$38,2)*'W149'!$E$10/'AR sim'!$D$42,"")</f>
        <v>0.98704089102698189</v>
      </c>
      <c r="E32" s="88">
        <f ca="1">VLOOKUP($A32,'cycle4 AFTA filters 2'!$A$34:$G$181,'W149'!$I$2)</f>
        <v>0.95</v>
      </c>
      <c r="F32" s="87">
        <f>IF($L$10=1, IF($K$10="R",VLOOKUP($A32,dichroic!$F$5:$H$1232,3),VLOOKUP($A32,dichroic!$F$5:$H$1232,2)),1)</f>
        <v>1</v>
      </c>
      <c r="G32" s="83">
        <f t="shared" ca="1" si="5"/>
        <v>0.85220414351154428</v>
      </c>
      <c r="H32" s="83">
        <f t="shared" ca="1" si="6"/>
        <v>0.92903825705007215</v>
      </c>
      <c r="I32" s="83">
        <f t="shared" ca="1" si="0"/>
        <v>0.95</v>
      </c>
      <c r="J32" s="89">
        <f t="shared" ca="1" si="1"/>
        <v>0.98</v>
      </c>
      <c r="K32" s="46">
        <f ca="1">VLOOKUP($A32,'SWIR data'!$A$5:$K$795,11)/100</f>
        <v>0.85296578457038508</v>
      </c>
      <c r="L32" s="90">
        <f t="shared" ca="1" si="2"/>
        <v>2.3991065394800204</v>
      </c>
      <c r="N32" s="6">
        <f t="shared" ca="1" si="3"/>
        <v>0.46341463414634138</v>
      </c>
    </row>
    <row r="33" spans="1:14" ht="15">
      <c r="A33" s="79">
        <f t="shared" ca="1" si="4"/>
        <v>1.4504878048780487</v>
      </c>
      <c r="B33" s="83">
        <f ca="1">IF($A33&lt;&gt;"",IF($E$5="pAu",VLOOKUP(A33,pAg!$A$2:$C$47,3),VLOOKUP(A33,pAg!$O$3:$P1223,2)),"")</f>
        <v>0.97911140400909091</v>
      </c>
      <c r="C33" s="83">
        <f ca="1">VLOOKUP(A33,pAg!$A$7:$C$47,3)</f>
        <v>0.99</v>
      </c>
      <c r="D33" s="87">
        <f ca="1">IF($A33&lt;&gt;"",1-VLOOKUP($N33,'AR sim'!$E$10:$F$38,2)*'W149'!$E$10/'AR sim'!$D$42,"")</f>
        <v>0.98574498012968004</v>
      </c>
      <c r="E33" s="88">
        <f ca="1">VLOOKUP($A33,'cycle4 AFTA filters 2'!$A$34:$G$181,'W149'!$I$2)</f>
        <v>0.95</v>
      </c>
      <c r="F33" s="87">
        <f>IF($L$10=1, IF($K$10="R",VLOOKUP($A33,dichroic!$F$5:$H$1232,3),VLOOKUP($A33,dichroic!$F$5:$H$1232,2)),1)</f>
        <v>1</v>
      </c>
      <c r="G33" s="83">
        <f t="shared" ca="1" si="5"/>
        <v>0.85483865057276587</v>
      </c>
      <c r="H33" s="83">
        <f t="shared" ca="1" si="6"/>
        <v>0.93018600630013026</v>
      </c>
      <c r="I33" s="83">
        <f t="shared" ca="1" si="0"/>
        <v>0.95</v>
      </c>
      <c r="J33" s="89">
        <f t="shared" ca="1" si="1"/>
        <v>0.98</v>
      </c>
      <c r="K33" s="46">
        <f ca="1">VLOOKUP($A33,'SWIR data'!$A$5:$K$795,11)/100</f>
        <v>0.85976126073868331</v>
      </c>
      <c r="L33" s="90">
        <f t="shared" ca="1" si="2"/>
        <v>2.4256956278245365</v>
      </c>
      <c r="N33" s="6">
        <f t="shared" ca="1" si="3"/>
        <v>0.48780487804878037</v>
      </c>
    </row>
    <row r="34" spans="1:14" ht="15">
      <c r="A34" s="79">
        <f t="shared" ca="1" si="4"/>
        <v>1.4766550522648083</v>
      </c>
      <c r="B34" s="83">
        <f ca="1">IF($A34&lt;&gt;"",IF($E$5="pAu",VLOOKUP(A34,pAg!$A$2:$C$47,3),VLOOKUP(A34,pAg!$O$3:$P1224,2)),"")</f>
        <v>0.9794808466045456</v>
      </c>
      <c r="C34" s="83">
        <f ca="1">VLOOKUP(A34,pAg!$A$7:$C$47,3)</f>
        <v>0.99</v>
      </c>
      <c r="D34" s="87">
        <f ca="1">IF($A34&lt;&gt;"",1-VLOOKUP($N34,'AR sim'!$E$10:$F$38,2)*'W149'!$E$10/'AR sim'!$D$42,"")</f>
        <v>0.98444906923237818</v>
      </c>
      <c r="E34" s="88">
        <f ca="1">VLOOKUP($A34,'cycle4 AFTA filters 2'!$A$34:$G$181,'W149'!$I$2)</f>
        <v>0.95</v>
      </c>
      <c r="F34" s="87">
        <f>IF($L$10=1, IF($K$10="R",VLOOKUP($A34,dichroic!$F$5:$H$1232,3),VLOOKUP($A34,dichroic!$F$5:$H$1232,2)),1)</f>
        <v>1</v>
      </c>
      <c r="G34" s="83">
        <f t="shared" ca="1" si="5"/>
        <v>0.85645262538149225</v>
      </c>
      <c r="H34" s="83">
        <f t="shared" ca="1" si="6"/>
        <v>0.93088810243513331</v>
      </c>
      <c r="I34" s="83">
        <f t="shared" ca="1" si="0"/>
        <v>0.95</v>
      </c>
      <c r="J34" s="89">
        <f t="shared" ca="1" si="1"/>
        <v>0.98</v>
      </c>
      <c r="K34" s="46">
        <f ca="1">VLOOKUP($A34,'SWIR data'!$A$5:$K$795,11)/100</f>
        <v>0.86576963443435173</v>
      </c>
      <c r="L34" s="90">
        <f t="shared" ca="1" si="2"/>
        <v>2.4472592412174432</v>
      </c>
      <c r="N34" s="6">
        <f t="shared" ca="1" si="3"/>
        <v>0.51219512195121941</v>
      </c>
    </row>
    <row r="35" spans="1:14" ht="15">
      <c r="A35" s="79">
        <f t="shared" ca="1" si="4"/>
        <v>1.5028222996515679</v>
      </c>
      <c r="B35" s="83">
        <f ca="1">IF($A35&lt;&gt;"",IF($E$5="pAu",VLOOKUP(A35,pAg!$A$2:$C$47,3),VLOOKUP(A35,pAg!$O$3:$P1225,2)),"")</f>
        <v>0.97972050954090906</v>
      </c>
      <c r="C35" s="83">
        <f ca="1">VLOOKUP(A35,pAg!$A$7:$C$47,3)</f>
        <v>0.99</v>
      </c>
      <c r="D35" s="87">
        <f ca="1">IF($A35&lt;&gt;"",1-VLOOKUP($N35,'AR sim'!$E$10:$F$38,2)*'W149'!$E$10/'AR sim'!$D$42,"")</f>
        <v>0.98574498012968004</v>
      </c>
      <c r="E35" s="88">
        <f ca="1">VLOOKUP($A35,'cycle4 AFTA filters 2'!$A$34:$G$181,'W149'!$I$2)</f>
        <v>0.95</v>
      </c>
      <c r="F35" s="87">
        <f>IF($L$10=1, IF($K$10="R",VLOOKUP($A35,dichroic!$F$5:$H$1232,3),VLOOKUP($A35,dichroic!$F$5:$H$1232,2)),1)</f>
        <v>1</v>
      </c>
      <c r="G35" s="83">
        <f t="shared" ca="1" si="5"/>
        <v>0.85750093798428972</v>
      </c>
      <c r="H35" s="83">
        <f t="shared" ca="1" si="6"/>
        <v>0.93134370434141311</v>
      </c>
      <c r="I35" s="83">
        <f t="shared" ca="1" si="0"/>
        <v>0.95</v>
      </c>
      <c r="J35" s="89">
        <f t="shared" ca="1" si="1"/>
        <v>0.98</v>
      </c>
      <c r="K35" s="46">
        <f ca="1">VLOOKUP($A35,'SWIR data'!$A$5:$K$795,11)/100</f>
        <v>0.87094807794270002</v>
      </c>
      <c r="L35" s="90">
        <f t="shared" ca="1" si="2"/>
        <v>2.4649104809557016</v>
      </c>
      <c r="N35" s="6">
        <f t="shared" ca="1" si="3"/>
        <v>0.53658536585365846</v>
      </c>
    </row>
    <row r="36" spans="1:14" ht="15">
      <c r="A36" s="79">
        <f t="shared" ca="1" si="4"/>
        <v>1.5289895470383275</v>
      </c>
      <c r="B36" s="83">
        <f ca="1">IF($A36&lt;&gt;"",IF($E$5="pAu",VLOOKUP(A36,pAg!$A$2:$C$47,3),VLOOKUP(A36,pAg!$O$3:$P1226,2)),"")</f>
        <v>0.98002031751363627</v>
      </c>
      <c r="C36" s="83">
        <f ca="1">VLOOKUP(A36,pAg!$A$7:$C$47,3)</f>
        <v>0.99</v>
      </c>
      <c r="D36" s="87">
        <f ca="1">IF($A36&lt;&gt;"",1-VLOOKUP($N36,'AR sim'!$E$10:$F$38,2)*'W149'!$E$10/'AR sim'!$D$42,"")</f>
        <v>0.98574498012968004</v>
      </c>
      <c r="E36" s="88">
        <f ca="1">VLOOKUP($A36,'cycle4 AFTA filters 2'!$A$34:$G$181,'W149'!$I$2)</f>
        <v>0.95</v>
      </c>
      <c r="F36" s="87">
        <f>IF($L$10=1, IF($K$10="R",VLOOKUP($A36,dichroic!$F$5:$H$1232,3),VLOOKUP($A36,dichroic!$F$5:$H$1232,2)),1)</f>
        <v>1</v>
      </c>
      <c r="G36" s="83">
        <f t="shared" ca="1" si="5"/>
        <v>0.85881377673249226</v>
      </c>
      <c r="H36" s="83">
        <f t="shared" ca="1" si="6"/>
        <v>0.93191379956434162</v>
      </c>
      <c r="I36" s="83">
        <f t="shared" ca="1" si="0"/>
        <v>0.95</v>
      </c>
      <c r="J36" s="89">
        <f t="shared" ca="1" si="1"/>
        <v>0.98</v>
      </c>
      <c r="K36" s="46">
        <f ca="1">VLOOKUP($A36,'SWIR data'!$A$5:$K$795,11)/100</f>
        <v>0.87632135398365751</v>
      </c>
      <c r="L36" s="90">
        <f t="shared" ca="1" si="2"/>
        <v>2.4839147122882359</v>
      </c>
      <c r="N36" s="6">
        <f t="shared" ca="1" si="3"/>
        <v>0.56097560975609739</v>
      </c>
    </row>
    <row r="37" spans="1:14" ht="15">
      <c r="A37" s="79">
        <f t="shared" ca="1" si="4"/>
        <v>1.555156794425087</v>
      </c>
      <c r="B37" s="83">
        <f ca="1">IF($A37&lt;&gt;"",IF($E$5="pAu",VLOOKUP(A37,pAg!$A$2:$C$47,3),VLOOKUP(A37,pAg!$O$3:$P1227,2)),"")</f>
        <v>0.98032563597727262</v>
      </c>
      <c r="C37" s="83">
        <f ca="1">VLOOKUP(A37,pAg!$A$7:$C$47,3)</f>
        <v>0.99</v>
      </c>
      <c r="D37" s="87">
        <f ca="1">IF($A37&lt;&gt;"",1-VLOOKUP($N37,'AR sim'!$E$10:$F$38,2)*'W149'!$E$10/'AR sim'!$D$42,"")</f>
        <v>0.98704089102698189</v>
      </c>
      <c r="E37" s="88">
        <f ca="1">VLOOKUP($A37,'cycle4 AFTA filters 2'!$A$34:$G$181,'W149'!$I$2)</f>
        <v>0.95</v>
      </c>
      <c r="F37" s="87">
        <f>IF($L$10=1, IF($K$10="R",VLOOKUP($A37,dichroic!$F$5:$H$1232,3),VLOOKUP($A37,dichroic!$F$5:$H$1232,2)),1)</f>
        <v>1</v>
      </c>
      <c r="G37" s="83">
        <f t="shared" ca="1" si="5"/>
        <v>0.86015239762390983</v>
      </c>
      <c r="H37" s="83">
        <f t="shared" ca="1" si="6"/>
        <v>0.93249455244503043</v>
      </c>
      <c r="I37" s="83">
        <f t="shared" ca="1" si="0"/>
        <v>0.95</v>
      </c>
      <c r="J37" s="89">
        <f t="shared" ca="1" si="1"/>
        <v>0.98</v>
      </c>
      <c r="K37" s="46">
        <f ca="1">VLOOKUP($A37,'SWIR data'!$A$5:$K$795,11)/100</f>
        <v>0.88072910194850906</v>
      </c>
      <c r="L37" s="90">
        <f t="shared" ca="1" si="2"/>
        <v>2.5002994989750902</v>
      </c>
      <c r="N37" s="6">
        <f t="shared" ca="1" si="3"/>
        <v>0.58536585365853644</v>
      </c>
    </row>
    <row r="38" spans="1:14" ht="15">
      <c r="A38" s="79">
        <f t="shared" ca="1" si="4"/>
        <v>1.5813240418118466</v>
      </c>
      <c r="B38" s="83">
        <f ca="1">IF($A38&lt;&gt;"",IF($E$5="pAu",VLOOKUP(A38,pAg!$A$2:$C$47,3),VLOOKUP(A38,pAg!$O$3:$P1228,2)),"")</f>
        <v>0.98052656718181808</v>
      </c>
      <c r="C38" s="83">
        <f ca="1">VLOOKUP(A38,pAg!$A$7:$C$47,3)</f>
        <v>0.99</v>
      </c>
      <c r="D38" s="87">
        <f ca="1">IF($A38&lt;&gt;"",1-VLOOKUP($N38,'AR sim'!$E$10:$F$38,2)*'W149'!$E$10/'AR sim'!$D$42,"")</f>
        <v>0.98833680192428364</v>
      </c>
      <c r="E38" s="88">
        <f ca="1">VLOOKUP($A38,'cycle4 AFTA filters 2'!$A$34:$G$181,'W149'!$I$2)</f>
        <v>0.95</v>
      </c>
      <c r="F38" s="87">
        <f>IF($L$10=1, IF($K$10="R",VLOOKUP($A38,dichroic!$F$5:$H$1232,3),VLOOKUP($A38,dichroic!$F$5:$H$1232,2)),1)</f>
        <v>1</v>
      </c>
      <c r="G38" s="83">
        <f t="shared" ca="1" si="5"/>
        <v>0.86103425929255817</v>
      </c>
      <c r="H38" s="83">
        <f t="shared" ca="1" si="6"/>
        <v>0.93287684675321536</v>
      </c>
      <c r="I38" s="83">
        <f t="shared" ca="1" si="0"/>
        <v>0.95</v>
      </c>
      <c r="J38" s="89">
        <f t="shared" ca="1" si="1"/>
        <v>0.98</v>
      </c>
      <c r="K38" s="46">
        <f ca="1">VLOOKUP($A38,'SWIR data'!$A$5:$K$795,11)/100</f>
        <v>0.8847812165147334</v>
      </c>
      <c r="L38" s="90">
        <f t="shared" ca="1" si="2"/>
        <v>2.5143782343080332</v>
      </c>
      <c r="N38" s="6">
        <f t="shared" ca="1" si="3"/>
        <v>0.60975609756097549</v>
      </c>
    </row>
    <row r="39" spans="1:14" ht="15">
      <c r="A39" s="79">
        <f t="shared" ca="1" si="4"/>
        <v>1.6074912891986062</v>
      </c>
      <c r="B39" s="83">
        <f ca="1">IF($A39&lt;&gt;"",IF($E$5="pAu",VLOOKUP(A39,pAg!$A$2:$C$47,3),VLOOKUP(A39,pAg!$O$3:$P1229,2)),"")</f>
        <v>0.98085438621363641</v>
      </c>
      <c r="C39" s="83">
        <f ca="1">VLOOKUP(A39,pAg!$A$7:$C$47,3)</f>
        <v>0.99</v>
      </c>
      <c r="D39" s="87">
        <f ca="1">IF($A39&lt;&gt;"",1-VLOOKUP($N39,'AR sim'!$E$10:$F$38,2)*'W149'!$E$10/'AR sim'!$D$42,"")</f>
        <v>0.98833680192428364</v>
      </c>
      <c r="E39" s="88">
        <f ca="1">VLOOKUP($A39,'cycle4 AFTA filters 2'!$A$34:$G$181,'W149'!$I$2)</f>
        <v>0.95</v>
      </c>
      <c r="F39" s="87">
        <f>IF($L$10=1, IF($K$10="R",VLOOKUP($A39,dichroic!$F$5:$H$1232,3),VLOOKUP($A39,dichroic!$F$5:$H$1232,2)),1)</f>
        <v>1</v>
      </c>
      <c r="G39" s="83">
        <f t="shared" ca="1" si="5"/>
        <v>0.86247456814203804</v>
      </c>
      <c r="H39" s="83">
        <f t="shared" ca="1" si="6"/>
        <v>0.93350072766865289</v>
      </c>
      <c r="I39" s="83">
        <f t="shared" ca="1" si="0"/>
        <v>0.95</v>
      </c>
      <c r="J39" s="89">
        <f t="shared" ca="1" si="1"/>
        <v>0.98</v>
      </c>
      <c r="K39" s="46">
        <f ca="1">VLOOKUP($A39,'SWIR data'!$A$5:$K$795,11)/100</f>
        <v>0.8885101445909015</v>
      </c>
      <c r="L39" s="90">
        <f t="shared" ca="1" si="2"/>
        <v>2.5291988241005123</v>
      </c>
      <c r="N39" s="6">
        <f t="shared" ca="1" si="3"/>
        <v>0.63414634146341442</v>
      </c>
    </row>
    <row r="40" spans="1:14" ht="15">
      <c r="A40" s="79">
        <f t="shared" ca="1" si="4"/>
        <v>1.6336585365853658</v>
      </c>
      <c r="B40" s="83">
        <f ca="1">IF($A40&lt;&gt;"",IF($E$5="pAu",VLOOKUP(A40,pAg!$A$2:$C$47,3),VLOOKUP(A40,pAg!$O$3:$P1230,2)),"")</f>
        <v>0.98106243438181839</v>
      </c>
      <c r="C40" s="83">
        <f ca="1">VLOOKUP(A40,pAg!$A$7:$C$47,3)</f>
        <v>0.99</v>
      </c>
      <c r="D40" s="87">
        <f ca="1">IF($A40&lt;&gt;"",1-VLOOKUP($N40,'AR sim'!$E$10:$F$38,2)*'W149'!$E$10/'AR sim'!$D$42,"")</f>
        <v>0.98963271282158538</v>
      </c>
      <c r="E40" s="88">
        <f ca="1">VLOOKUP($A40,'cycle4 AFTA filters 2'!$A$34:$G$181,'W149'!$I$2)</f>
        <v>0.95</v>
      </c>
      <c r="F40" s="87">
        <f>IF($L$10=1, IF($K$10="R",VLOOKUP($A40,dichroic!$F$5:$H$1232,3),VLOOKUP($A40,dichroic!$F$5:$H$1232,2)),1)</f>
        <v>1</v>
      </c>
      <c r="G40" s="83">
        <f t="shared" ca="1" si="5"/>
        <v>0.86338964989530687</v>
      </c>
      <c r="H40" s="83">
        <f t="shared" ca="1" si="6"/>
        <v>0.93389677771707058</v>
      </c>
      <c r="I40" s="83">
        <f t="shared" ca="1" si="0"/>
        <v>0.95</v>
      </c>
      <c r="J40" s="89">
        <f t="shared" ca="1" si="1"/>
        <v>0.98</v>
      </c>
      <c r="K40" s="46">
        <f ca="1">VLOOKUP($A40,'SWIR data'!$A$5:$K$795,11)/100</f>
        <v>0.89232647989544989</v>
      </c>
      <c r="L40" s="90">
        <f t="shared" ca="1" si="2"/>
        <v>2.5427572524533777</v>
      </c>
      <c r="N40" s="6">
        <f t="shared" ca="1" si="3"/>
        <v>0.65853658536585347</v>
      </c>
    </row>
    <row r="41" spans="1:14" ht="15">
      <c r="A41" s="79">
        <f t="shared" ca="1" si="4"/>
        <v>1.6598257839721253</v>
      </c>
      <c r="B41" s="83">
        <f ca="1">IF($A41&lt;&gt;"",IF($E$5="pAu",VLOOKUP(A41,pAg!$A$2:$C$47,3),VLOOKUP(A41,pAg!$O$3:$P1231,2)),"")</f>
        <v>0.9812215511636363</v>
      </c>
      <c r="C41" s="83">
        <f ca="1">VLOOKUP(A41,pAg!$A$7:$C$47,3)</f>
        <v>0.99</v>
      </c>
      <c r="D41" s="87">
        <f ca="1">IF($A41&lt;&gt;"",1-VLOOKUP($N41,'AR sim'!$E$10:$F$38,2)*'W149'!$E$10/'AR sim'!$D$42,"")</f>
        <v>0.99092862371888735</v>
      </c>
      <c r="E41" s="88">
        <f ca="1">VLOOKUP($A41,'cycle4 AFTA filters 2'!$A$34:$G$181,'W149'!$I$2)</f>
        <v>0.95</v>
      </c>
      <c r="F41" s="87">
        <f>IF($L$10=1, IF($K$10="R",VLOOKUP($A41,dichroic!$F$5:$H$1232,3),VLOOKUP($A41,dichroic!$F$5:$H$1232,2)),1)</f>
        <v>1</v>
      </c>
      <c r="G41" s="83">
        <f t="shared" ca="1" si="5"/>
        <v>0.86409003525166339</v>
      </c>
      <c r="H41" s="83">
        <f t="shared" ca="1" si="6"/>
        <v>0.93419973641794118</v>
      </c>
      <c r="I41" s="83">
        <f t="shared" ca="1" si="0"/>
        <v>0.95</v>
      </c>
      <c r="J41" s="89">
        <f t="shared" ca="1" si="1"/>
        <v>0.98</v>
      </c>
      <c r="K41" s="46">
        <f ca="1">VLOOKUP($A41,'SWIR data'!$A$5:$K$795,11)/100</f>
        <v>0.89541913338360446</v>
      </c>
      <c r="L41" s="90">
        <f t="shared" ca="1" si="2"/>
        <v>2.5536398658476029</v>
      </c>
      <c r="N41" s="6">
        <f t="shared" ca="1" si="3"/>
        <v>0.68292682926829251</v>
      </c>
    </row>
    <row r="42" spans="1:14" ht="15">
      <c r="A42" s="79">
        <f t="shared" ca="1" si="4"/>
        <v>1.6859930313588849</v>
      </c>
      <c r="B42" s="83">
        <f ca="1">IF($A42&lt;&gt;"",IF($E$5="pAu",VLOOKUP(A42,pAg!$A$2:$C$47,3),VLOOKUP(A42,pAg!$O$3:$P1232,2)),"")</f>
        <v>0.98145715449999993</v>
      </c>
      <c r="C42" s="83">
        <f ca="1">VLOOKUP(A42,pAg!$A$7:$C$47,3)</f>
        <v>0.99</v>
      </c>
      <c r="D42" s="87">
        <f ca="1">IF($A42&lt;&gt;"",1-VLOOKUP($N42,'AR sim'!$E$10:$F$38,2)*'W149'!$E$10/'AR sim'!$D$42,"")</f>
        <v>0.99092862371888735</v>
      </c>
      <c r="E42" s="88">
        <f ca="1">VLOOKUP($A42,'cycle4 AFTA filters 2'!$A$34:$G$181,'W149'!$I$2)</f>
        <v>0.95</v>
      </c>
      <c r="F42" s="87">
        <f>IF($L$10=1, IF($K$10="R",VLOOKUP($A42,dichroic!$F$5:$H$1232,3),VLOOKUP($A42,dichroic!$F$5:$H$1232,2)),1)</f>
        <v>1</v>
      </c>
      <c r="G42" s="83">
        <f t="shared" ca="1" si="5"/>
        <v>0.86512792666248117</v>
      </c>
      <c r="H42" s="83">
        <f t="shared" ca="1" si="6"/>
        <v>0.93464841592134928</v>
      </c>
      <c r="I42" s="83">
        <f t="shared" ca="1" si="0"/>
        <v>0.95</v>
      </c>
      <c r="J42" s="89">
        <f t="shared" ca="1" si="1"/>
        <v>0.98</v>
      </c>
      <c r="K42" s="46">
        <f ca="1">VLOOKUP($A42,'SWIR data'!$A$5:$K$795,11)/100</f>
        <v>0.89822512980498859</v>
      </c>
      <c r="L42" s="90">
        <f t="shared" ca="1" si="2"/>
        <v>2.5647191543346159</v>
      </c>
      <c r="N42" s="6">
        <f t="shared" ca="1" si="3"/>
        <v>0.70731707317073156</v>
      </c>
    </row>
    <row r="43" spans="1:14" ht="15">
      <c r="A43" s="79">
        <f t="shared" ca="1" si="4"/>
        <v>1.7121602787456445</v>
      </c>
      <c r="B43" s="83">
        <f ca="1">IF($A43&lt;&gt;"",IF($E$5="pAu",VLOOKUP(A43,pAg!$A$2:$C$47,3),VLOOKUP(A43,pAg!$O$3:$P1233,2)),"")</f>
        <v>0.9817037896727272</v>
      </c>
      <c r="C43" s="83">
        <f ca="1">VLOOKUP(A43,pAg!$A$7:$C$47,3)</f>
        <v>0.99</v>
      </c>
      <c r="D43" s="87">
        <f ca="1">IF($A43&lt;&gt;"",1-VLOOKUP($N43,'AR sim'!$E$10:$F$38,2)*'W149'!$E$10/'AR sim'!$D$42,"")</f>
        <v>0.9922245346161892</v>
      </c>
      <c r="E43" s="88">
        <f ca="1">VLOOKUP($A43,'cycle4 AFTA filters 2'!$A$34:$G$181,'W149'!$I$2)</f>
        <v>0.95</v>
      </c>
      <c r="F43" s="87">
        <f>IF($L$10=1, IF($K$10="R",VLOOKUP($A43,dichroic!$F$5:$H$1232,3),VLOOKUP($A43,dichroic!$F$5:$H$1232,2)),1)</f>
        <v>1</v>
      </c>
      <c r="G43" s="83">
        <f t="shared" ca="1" si="5"/>
        <v>0.86621548427857498</v>
      </c>
      <c r="H43" s="83">
        <f t="shared" ca="1" si="6"/>
        <v>0.93511821969492703</v>
      </c>
      <c r="I43" s="83">
        <f t="shared" ca="1" si="0"/>
        <v>0.95</v>
      </c>
      <c r="J43" s="89">
        <f t="shared" ca="1" si="1"/>
        <v>0.98</v>
      </c>
      <c r="K43" s="46">
        <f ca="1">VLOOKUP($A43,'SWIR data'!$A$5:$K$795,11)/100</f>
        <v>0.90108393316797619</v>
      </c>
      <c r="L43" s="90">
        <f t="shared" ca="1" si="2"/>
        <v>2.5761163351554708</v>
      </c>
      <c r="N43" s="6">
        <f t="shared" ca="1" si="3"/>
        <v>0.73170731707317049</v>
      </c>
    </row>
    <row r="44" spans="1:14" ht="15">
      <c r="A44" s="79">
        <f t="shared" ca="1" si="4"/>
        <v>1.738327526132404</v>
      </c>
      <c r="B44" s="83">
        <f ca="1">IF($A44&lt;&gt;"",IF($E$5="pAu",VLOOKUP(A44,pAg!$A$2:$C$47,3),VLOOKUP(A44,pAg!$O$3:$P1234,2)),"")</f>
        <v>0.98186525375</v>
      </c>
      <c r="C44" s="83">
        <f ca="1">VLOOKUP(A44,pAg!$A$7:$C$47,3)</f>
        <v>0.99</v>
      </c>
      <c r="D44" s="87">
        <f ca="1">IF($A44&lt;&gt;"",1-VLOOKUP($N44,'AR sim'!$E$10:$F$38,2)*'W149'!$E$10/'AR sim'!$D$42,"")</f>
        <v>0.99157657916753827</v>
      </c>
      <c r="E44" s="88">
        <f ca="1">VLOOKUP($A44,'cycle4 AFTA filters 2'!$A$34:$G$181,'W149'!$I$2)</f>
        <v>0.95</v>
      </c>
      <c r="F44" s="87">
        <f>IF($L$10=1, IF($K$10="R",VLOOKUP($A44,dichroic!$F$5:$H$1232,3),VLOOKUP($A44,dichroic!$F$5:$H$1232,2)),1)</f>
        <v>1</v>
      </c>
      <c r="G44" s="83">
        <f t="shared" ca="1" si="5"/>
        <v>0.86692806530498323</v>
      </c>
      <c r="H44" s="83">
        <f t="shared" ca="1" si="6"/>
        <v>0.93542584897948522</v>
      </c>
      <c r="I44" s="83">
        <f t="shared" ca="1" si="0"/>
        <v>0.95</v>
      </c>
      <c r="J44" s="89">
        <f t="shared" ca="1" si="1"/>
        <v>0.98</v>
      </c>
      <c r="K44" s="46">
        <f ca="1">VLOOKUP($A44,'SWIR data'!$A$5:$K$795,11)/100</f>
        <v>0.90337304377534355</v>
      </c>
      <c r="L44" s="90">
        <f t="shared" ca="1" si="2"/>
        <v>2.5847852850686155</v>
      </c>
      <c r="N44" s="6">
        <f t="shared" ca="1" si="3"/>
        <v>0.75609756097560954</v>
      </c>
    </row>
    <row r="45" spans="1:14" ht="15">
      <c r="A45" s="79">
        <f t="shared" ca="1" si="4"/>
        <v>1.7644947735191636</v>
      </c>
      <c r="B45" s="83">
        <f ca="1">IF($A45&lt;&gt;"",IF($E$5="pAu",VLOOKUP(A45,pAg!$A$2:$C$47,3),VLOOKUP(A45,pAg!$O$3:$P1213,2)),"")</f>
        <v>0.982075988418182</v>
      </c>
      <c r="C45" s="83">
        <f ca="1">VLOOKUP(A45,pAg!$A$7:$C$47,3)</f>
        <v>0.99</v>
      </c>
      <c r="D45" s="87">
        <f ca="1">IF($A45&lt;&gt;"",1-VLOOKUP($N45,'AR sim'!$E$10:$F$38,2)*'W149'!$E$10/'AR sim'!$D$42,"")</f>
        <v>0.99157657916753827</v>
      </c>
      <c r="E45" s="88">
        <f ca="1">VLOOKUP($A45,'cycle4 AFTA filters 2'!$A$34:$G$181,'W149'!$I$2)</f>
        <v>0.95</v>
      </c>
      <c r="F45" s="87">
        <f>IF($L$10=1, IF($K$10="R",VLOOKUP($A45,dichroic!$F$5:$H$1232,3),VLOOKUP($A45,dichroic!$F$5:$H$1232,2)),1)</f>
        <v>1</v>
      </c>
      <c r="G45" s="83">
        <f t="shared" ca="1" si="5"/>
        <v>0.8678587950331873</v>
      </c>
      <c r="H45" s="83">
        <f t="shared" ca="1" si="6"/>
        <v>0.93582742711758382</v>
      </c>
      <c r="I45" s="83">
        <f t="shared" ca="1" si="0"/>
        <v>0.95</v>
      </c>
      <c r="J45" s="89">
        <f t="shared" ca="1" si="1"/>
        <v>0.98</v>
      </c>
      <c r="K45" s="46">
        <f ca="1">VLOOKUP($A45,'SWIR data'!$A$5:$K$795,11)/100</f>
        <v>0.90544126808114755</v>
      </c>
      <c r="L45" s="90">
        <f t="shared" ca="1" si="2"/>
        <v>2.5934843789188959</v>
      </c>
      <c r="N45" s="6">
        <f t="shared" ca="1" si="3"/>
        <v>0.78048780487804859</v>
      </c>
    </row>
    <row r="46" spans="1:14" ht="15">
      <c r="A46" s="79">
        <f t="shared" ca="1" si="4"/>
        <v>1.7906620209059232</v>
      </c>
      <c r="B46" s="83">
        <f ca="1">IF($A46&lt;&gt;"",IF($E$5="pAu",VLOOKUP(A46,pAg!$A$2:$C$47,3),VLOOKUP(A46,pAg!$O$3:$P1214,2)),"")</f>
        <v>0.98218441809090906</v>
      </c>
      <c r="C46" s="83">
        <f ca="1">VLOOKUP(A46,pAg!$A$7:$C$47,3)</f>
        <v>0.99</v>
      </c>
      <c r="D46" s="87">
        <f ca="1">IF($A46&lt;&gt;"",1-VLOOKUP($N46,'AR sim'!$E$10:$F$38,2)*'W149'!$E$10/'AR sim'!$D$42,"")</f>
        <v>0.99092862371888735</v>
      </c>
      <c r="E46" s="88">
        <f ca="1">VLOOKUP($A46,'cycle4 AFTA filters 2'!$A$34:$G$181,'W149'!$I$2)</f>
        <v>0.95</v>
      </c>
      <c r="F46" s="87">
        <f>IF($L$10=1, IF($K$10="R",VLOOKUP($A46,dichroic!$F$5:$H$1232,3),VLOOKUP($A46,dichroic!$F$5:$H$1232,2)),1)</f>
        <v>1</v>
      </c>
      <c r="G46" s="83">
        <f t="shared" ca="1" si="5"/>
        <v>0.86833799637703513</v>
      </c>
      <c r="H46" s="83">
        <f t="shared" ca="1" si="6"/>
        <v>0.93603408538947119</v>
      </c>
      <c r="I46" s="83">
        <f t="shared" ca="1" si="0"/>
        <v>0.95</v>
      </c>
      <c r="J46" s="89">
        <f t="shared" ca="1" si="1"/>
        <v>0.98</v>
      </c>
      <c r="K46" s="46">
        <f ca="1">VLOOKUP($A46,'SWIR data'!$A$5:$K$795,11)/100</f>
        <v>0.90731439385389179</v>
      </c>
      <c r="L46" s="90">
        <f t="shared" ca="1" si="2"/>
        <v>2.6002846270536786</v>
      </c>
      <c r="N46" s="6">
        <f t="shared" ca="1" si="3"/>
        <v>0.80487804878048752</v>
      </c>
    </row>
    <row r="47" spans="1:14" ht="15">
      <c r="A47" s="79">
        <f t="shared" ca="1" si="4"/>
        <v>1.8168292682926828</v>
      </c>
      <c r="B47" s="83">
        <f ca="1">IF($A47&lt;&gt;"",IF($E$5="pAu",VLOOKUP(A47,pAg!$A$2:$C$47,3),VLOOKUP(A47,pAg!$O$3:$P1215,2)),"")</f>
        <v>0.98184697559999989</v>
      </c>
      <c r="C47" s="83">
        <f ca="1">VLOOKUP(A47,pAg!$A$7:$C$47,3)</f>
        <v>0.99</v>
      </c>
      <c r="D47" s="87">
        <f ca="1">IF($A47&lt;&gt;"",1-VLOOKUP($N47,'AR sim'!$E$10:$F$38,2)*'W149'!$E$10/'AR sim'!$D$42,"")</f>
        <v>0.99028066827023642</v>
      </c>
      <c r="E47" s="88">
        <f ca="1">VLOOKUP($A47,'cycle4 AFTA filters 2'!$A$34:$G$181,'W149'!$I$2)</f>
        <v>0.95</v>
      </c>
      <c r="F47" s="87">
        <f>IF($L$10=1, IF($K$10="R",VLOOKUP($A47,dichroic!$F$5:$H$1232,3),VLOOKUP($A47,dichroic!$F$5:$H$1232,2)),1)</f>
        <v>1</v>
      </c>
      <c r="G47" s="83">
        <f t="shared" ca="1" si="5"/>
        <v>0.86684737576431936</v>
      </c>
      <c r="H47" s="83">
        <f t="shared" ca="1" si="6"/>
        <v>0.93539102201158564</v>
      </c>
      <c r="I47" s="83">
        <f t="shared" ca="1" si="0"/>
        <v>0.95</v>
      </c>
      <c r="J47" s="89">
        <f t="shared" ca="1" si="1"/>
        <v>0.98</v>
      </c>
      <c r="K47" s="46">
        <f ca="1">VLOOKUP($A47,'SWIR data'!$A$5:$K$795,11)/100</f>
        <v>0.90919404479801957</v>
      </c>
      <c r="L47" s="90">
        <f t="shared" ca="1" si="2"/>
        <v>2.601198553566658</v>
      </c>
      <c r="N47" s="6">
        <f t="shared" ca="1" si="3"/>
        <v>0.82926829268292657</v>
      </c>
    </row>
    <row r="48" spans="1:14" ht="15">
      <c r="A48" s="79">
        <f t="shared" ca="1" si="4"/>
        <v>1.8429965156794423</v>
      </c>
      <c r="B48" s="83">
        <f ca="1">IF($A48&lt;&gt;"",IF($E$5="pAu",VLOOKUP(A48,pAg!$A$2:$C$47,3),VLOOKUP(A48,pAg!$O$3:$P1216,2)),"")</f>
        <v>0.98189115450454534</v>
      </c>
      <c r="C48" s="83">
        <f ca="1">VLOOKUP(A48,pAg!$A$7:$C$47,3)</f>
        <v>0.99</v>
      </c>
      <c r="D48" s="87">
        <f ca="1">IF($A48&lt;&gt;"",1-VLOOKUP($N48,'AR sim'!$E$10:$F$38,2)*'W149'!$E$10/'AR sim'!$D$42,"")</f>
        <v>0.99028066827023642</v>
      </c>
      <c r="E48" s="88">
        <f ca="1">VLOOKUP($A48,'cycle4 AFTA filters 2'!$A$34:$G$181,'W149'!$I$2)</f>
        <v>0.95</v>
      </c>
      <c r="F48" s="87">
        <f>IF($L$10=1, IF($K$10="R",VLOOKUP($A48,dichroic!$F$5:$H$1232,3),VLOOKUP($A48,dichroic!$F$5:$H$1232,2)),1)</f>
        <v>1</v>
      </c>
      <c r="G48" s="83">
        <f t="shared" ca="1" si="5"/>
        <v>0.86704241539330928</v>
      </c>
      <c r="H48" s="83">
        <f t="shared" ca="1" si="6"/>
        <v>0.93547520107698978</v>
      </c>
      <c r="I48" s="83">
        <f t="shared" ca="1" si="0"/>
        <v>0.95</v>
      </c>
      <c r="J48" s="89">
        <f t="shared" ca="1" si="1"/>
        <v>0.98</v>
      </c>
      <c r="K48" s="46">
        <f ca="1">VLOOKUP($A48,'SWIR data'!$A$5:$K$795,11)/100</f>
        <v>0.91068021690663703</v>
      </c>
      <c r="L48" s="90">
        <f t="shared" ca="1" si="2"/>
        <v>2.6060367060626968</v>
      </c>
      <c r="N48" s="6">
        <f t="shared" ca="1" si="3"/>
        <v>0.85365853658536561</v>
      </c>
    </row>
    <row r="49" spans="1:14" ht="15">
      <c r="A49" s="79">
        <f t="shared" ca="1" si="4"/>
        <v>1.8691637630662019</v>
      </c>
      <c r="B49" s="83">
        <f ca="1">IF($A49&lt;&gt;"",IF($E$5="pAu",VLOOKUP(A49,pAg!$A$2:$C$47,3),VLOOKUP(A49,pAg!$O$3:$P1217,2)),"")</f>
        <v>0.98200690828181825</v>
      </c>
      <c r="C49" s="83">
        <f ca="1">VLOOKUP(A49,pAg!$A$7:$C$47,3)</f>
        <v>0.99</v>
      </c>
      <c r="D49" s="87">
        <f ca="1">IF($A49&lt;&gt;"",1-VLOOKUP($N49,'AR sim'!$E$10:$F$38,2)*'W149'!$E$10/'AR sim'!$D$42,"")</f>
        <v>0.98963271282158538</v>
      </c>
      <c r="E49" s="88">
        <f ca="1">VLOOKUP($A49,'cycle4 AFTA filters 2'!$A$34:$G$181,'W149'!$I$2)</f>
        <v>0.95</v>
      </c>
      <c r="F49" s="87">
        <f>IF($L$10=1, IF($K$10="R",VLOOKUP($A49,dichroic!$F$5:$H$1232,3),VLOOKUP($A49,dichroic!$F$5:$H$1232,2)),1)</f>
        <v>1</v>
      </c>
      <c r="G49" s="83">
        <f t="shared" ca="1" si="5"/>
        <v>0.86755360800553105</v>
      </c>
      <c r="H49" s="83">
        <f t="shared" ca="1" si="6"/>
        <v>0.9356957778086249</v>
      </c>
      <c r="I49" s="83">
        <f t="shared" ca="1" si="0"/>
        <v>0.95</v>
      </c>
      <c r="J49" s="89">
        <f t="shared" ca="1" si="1"/>
        <v>0.98</v>
      </c>
      <c r="K49" s="46">
        <f ca="1">VLOOKUP($A49,'SWIR data'!$A$5:$K$795,11)/100</f>
        <v>0.91201252076379513</v>
      </c>
      <c r="L49" s="90">
        <f t="shared" ca="1" si="2"/>
        <v>2.6113879969993197</v>
      </c>
      <c r="N49" s="6">
        <f t="shared" ca="1" si="3"/>
        <v>0.87804878048780466</v>
      </c>
    </row>
    <row r="50" spans="1:14" ht="15">
      <c r="A50" s="79">
        <f t="shared" ca="1" si="4"/>
        <v>1.8953310104529615</v>
      </c>
      <c r="B50" s="83">
        <f ca="1">IF($A50&lt;&gt;"",IF($E$5="pAu",VLOOKUP(A50,pAg!$A$2:$C$47,3),VLOOKUP(A50,pAg!$O$3:$P1218,2)),"")</f>
        <v>0.9820076644818182</v>
      </c>
      <c r="C50" s="83">
        <f ca="1">VLOOKUP(A50,pAg!$A$7:$C$47,3)</f>
        <v>0.99</v>
      </c>
      <c r="D50" s="87">
        <f ca="1">IF($A50&lt;&gt;"",1-VLOOKUP($N50,'AR sim'!$E$10:$F$38,2)*'W149'!$E$10/'AR sim'!$D$42,"")</f>
        <v>0.98574498012968004</v>
      </c>
      <c r="E50" s="88">
        <f ca="1">VLOOKUP($A50,'cycle4 AFTA filters 2'!$A$34:$G$181,'W149'!$I$2)</f>
        <v>0.95</v>
      </c>
      <c r="F50" s="87">
        <f>IF($L$10=1, IF($K$10="R",VLOOKUP($A50,dichroic!$F$5:$H$1232,3),VLOOKUP($A50,dichroic!$F$5:$H$1232,2)),1)</f>
        <v>1</v>
      </c>
      <c r="G50" s="83">
        <f t="shared" ca="1" si="5"/>
        <v>0.86755694833360408</v>
      </c>
      <c r="H50" s="83">
        <f t="shared" ca="1" si="6"/>
        <v>0.93569721888488122</v>
      </c>
      <c r="I50" s="83">
        <f t="shared" ca="1" si="0"/>
        <v>0.95</v>
      </c>
      <c r="J50" s="89">
        <f t="shared" ca="1" si="1"/>
        <v>0.98</v>
      </c>
      <c r="K50" s="46">
        <f ca="1">VLOOKUP($A50,'SWIR data'!$A$5:$K$795,11)/100</f>
        <v>0.91320802349594421</v>
      </c>
      <c r="L50" s="90">
        <f t="shared" ca="1" si="2"/>
        <v>2.6148211772931482</v>
      </c>
      <c r="N50" s="6">
        <f t="shared" ca="1" si="3"/>
        <v>0.90243902439024359</v>
      </c>
    </row>
    <row r="51" spans="1:14" ht="15">
      <c r="A51" s="79">
        <f t="shared" ca="1" si="4"/>
        <v>1.9214982578397211</v>
      </c>
      <c r="B51" s="83">
        <f ca="1">IF($A51&lt;&gt;"",IF($E$5="pAu",VLOOKUP(A51,pAg!$A$2:$C$47,3),VLOOKUP(A51,pAg!$O$3:$P1219,2)),"")</f>
        <v>0.98213773450000008</v>
      </c>
      <c r="C51" s="83">
        <f ca="1">VLOOKUP(A51,pAg!$A$7:$C$47,3)</f>
        <v>0.99</v>
      </c>
      <c r="D51" s="87">
        <f ca="1">IF($A51&lt;&gt;"",1-VLOOKUP($N51,'AR sim'!$E$10:$F$38,2)*'W149'!$E$10/'AR sim'!$D$42,"")</f>
        <v>0.98574498012968004</v>
      </c>
      <c r="E51" s="88">
        <f ca="1">VLOOKUP($A51,'cycle4 AFTA filters 2'!$A$34:$G$181,'W149'!$I$2)</f>
        <v>0.95</v>
      </c>
      <c r="F51" s="87">
        <f>IF($L$10=1, IF($K$10="R",VLOOKUP($A51,dichroic!$F$5:$H$1232,3),VLOOKUP($A51,dichroic!$F$5:$H$1232,2)),1)</f>
        <v>1</v>
      </c>
      <c r="G51" s="83">
        <f t="shared" ca="1" si="5"/>
        <v>0.86813165385245494</v>
      </c>
      <c r="H51" s="83">
        <f t="shared" ca="1" si="6"/>
        <v>0.93594510740725789</v>
      </c>
      <c r="I51" s="83">
        <f t="shared" ca="1" si="0"/>
        <v>0.95</v>
      </c>
      <c r="J51" s="89">
        <f t="shared" ca="1" si="1"/>
        <v>0.98</v>
      </c>
      <c r="K51" s="46">
        <f ca="1">VLOOKUP($A51,'SWIR data'!$A$5:$K$795,11)/100</f>
        <v>0.91440088205169945</v>
      </c>
      <c r="L51" s="90">
        <f t="shared" ca="1" si="2"/>
        <v>2.6199711598781295</v>
      </c>
      <c r="N51" s="6">
        <f t="shared" ca="1" si="3"/>
        <v>0.92682926829268264</v>
      </c>
    </row>
    <row r="52" spans="1:14" ht="15">
      <c r="A52" s="79">
        <f t="shared" ca="1" si="4"/>
        <v>1.9476655052264806</v>
      </c>
      <c r="B52" s="83">
        <f ca="1">IF($A52&lt;&gt;"",IF($E$5="pAu",VLOOKUP(A52,pAg!$A$2:$C$47,3),VLOOKUP(A52,pAg!$O$3:$P1220,2)),"")</f>
        <v>0.98265052493636373</v>
      </c>
      <c r="C52" s="83">
        <f ca="1">VLOOKUP(A52,pAg!$A$7:$C$47,3)</f>
        <v>0.99</v>
      </c>
      <c r="D52" s="87">
        <f ca="1">IF($A52&lt;&gt;"",1-VLOOKUP($N52,'AR sim'!$E$10:$F$38,2)*'W149'!$E$10/'AR sim'!$D$42,"")</f>
        <v>0.98185724743777458</v>
      </c>
      <c r="E52" s="88">
        <f ca="1">VLOOKUP($A52,'cycle4 AFTA filters 2'!$A$34:$G$181,'W149'!$I$2)</f>
        <v>0.95</v>
      </c>
      <c r="F52" s="87">
        <f>IF($L$10=1, IF($K$10="R",VLOOKUP($A52,dichroic!$F$5:$H$1232,3),VLOOKUP($A52,dichroic!$F$5:$H$1232,2)),1)</f>
        <v>1</v>
      </c>
      <c r="G52" s="83">
        <f t="shared" ca="1" si="5"/>
        <v>0.87040035149855222</v>
      </c>
      <c r="H52" s="83">
        <f t="shared" ca="1" si="6"/>
        <v>0.93692270754717288</v>
      </c>
      <c r="I52" s="83">
        <f t="shared" ca="1" si="0"/>
        <v>0.95</v>
      </c>
      <c r="J52" s="89">
        <f t="shared" ca="1" si="1"/>
        <v>0.98</v>
      </c>
      <c r="K52" s="46">
        <f ca="1">VLOOKUP($A52,'SWIR data'!$A$5:$K$795,11)/100</f>
        <v>0.91533733620269042</v>
      </c>
      <c r="L52" s="90">
        <f t="shared" ca="1" si="2"/>
        <v>2.6295081290916635</v>
      </c>
      <c r="N52" s="6">
        <f t="shared" ca="1" si="3"/>
        <v>0.95121951219512157</v>
      </c>
    </row>
    <row r="53" spans="1:14" ht="15">
      <c r="A53" s="79">
        <f t="shared" ca="1" si="4"/>
        <v>1.9738327526132402</v>
      </c>
      <c r="B53" s="83">
        <f ca="1">IF($A53&lt;&gt;"",IF($E$5="pAu",VLOOKUP(A53,pAg!$A$2:$C$47,3),VLOOKUP(A53,pAg!$O$3:$P1221,2)),"")</f>
        <v>0.98309259258181825</v>
      </c>
      <c r="C53" s="83">
        <f ca="1">VLOOKUP(A53,pAg!$A$7:$C$47,3)</f>
        <v>0.99</v>
      </c>
      <c r="D53" s="87">
        <f ca="1">IF($A53&lt;&gt;"",1-VLOOKUP($N53,'AR sim'!$E$10:$F$38,2)*'W149'!$E$10/'AR sim'!$D$42,"")</f>
        <v>0.97796951474586913</v>
      </c>
      <c r="E53" s="88">
        <f ca="1">VLOOKUP($A53,'cycle4 AFTA filters 2'!$A$34:$G$181,'W149'!$I$2)</f>
        <v>0.83249999999998803</v>
      </c>
      <c r="F53" s="87">
        <f>IF($L$10=1, IF($K$10="R",VLOOKUP($A53,dichroic!$F$5:$H$1232,3),VLOOKUP($A53,dichroic!$F$5:$H$1232,2)),1)</f>
        <v>1</v>
      </c>
      <c r="G53" s="83">
        <f t="shared" ca="1" si="5"/>
        <v>0.76446280761237151</v>
      </c>
      <c r="H53" s="83">
        <f t="shared" ca="1" si="6"/>
        <v>0.93776588906419478</v>
      </c>
      <c r="I53" s="83">
        <f t="shared" ca="1" si="0"/>
        <v>0.83249999999998803</v>
      </c>
      <c r="J53" s="89">
        <f t="shared" ca="1" si="1"/>
        <v>0.98</v>
      </c>
      <c r="K53" s="46">
        <f ca="1">VLOOKUP($A53,'SWIR data'!$A$5:$K$795,11)/100</f>
        <v>0.91617113347505696</v>
      </c>
      <c r="L53" s="90">
        <f t="shared" ca="1" si="2"/>
        <v>2.3115710552823909</v>
      </c>
      <c r="N53" s="6">
        <f t="shared" ca="1" si="3"/>
        <v>0.97560975609756062</v>
      </c>
    </row>
    <row r="54" spans="1:14" ht="15">
      <c r="A54" s="79">
        <f t="shared" ca="1" si="4"/>
        <v>1.9999999999999998</v>
      </c>
      <c r="B54" s="83">
        <f ca="1">IF($A54&lt;&gt;"",IF($E$5="pAu",VLOOKUP(A54,pAg!$A$2:$C$47,3),VLOOKUP(A54,pAg!$O$3:$P1222,2)),"")</f>
        <v>0.98313825222727269</v>
      </c>
      <c r="C54" s="83">
        <f ca="1">VLOOKUP(A54,pAg!$A$7:$C$47,3)</f>
        <v>0.99</v>
      </c>
      <c r="D54" s="87">
        <f ca="1">IF($A54&lt;&gt;"",1-VLOOKUP($N54,'AR sim'!$E$10:$F$38,2)*'W149'!$E$10/'AR sim'!$D$42,"")</f>
        <v>0.97796951474586913</v>
      </c>
      <c r="E54" s="88">
        <f t="shared" ref="E54" ca="1" si="7">E53</f>
        <v>0.83249999999998803</v>
      </c>
      <c r="F54" s="87">
        <f>IF($L$10=1, IF($K$10="R",VLOOKUP($A54,dichroic!$F$5:$H$1232,3),VLOOKUP($A54,dichroic!$F$5:$H$1232,2)),1)</f>
        <v>1</v>
      </c>
      <c r="G54" s="83">
        <f t="shared" ca="1" si="5"/>
        <v>0.76464035112913242</v>
      </c>
      <c r="H54" s="83">
        <f t="shared" ca="1" si="6"/>
        <v>0.93785299998879623</v>
      </c>
      <c r="I54" s="83">
        <f t="shared" ca="1" si="0"/>
        <v>0.83249999999998803</v>
      </c>
      <c r="J54" s="89">
        <f t="shared" ca="1" si="1"/>
        <v>0.98</v>
      </c>
      <c r="K54" s="46">
        <f ca="1">VLOOKUP($A54,'SWIR data'!$A$5:$K$795,11)/100</f>
        <v>0.91692033058711775</v>
      </c>
      <c r="L54" s="90">
        <f t="shared" ca="1" si="2"/>
        <v>2.3139986302965263</v>
      </c>
      <c r="N54" s="6">
        <f t="shared" ca="1" si="3"/>
        <v>0.99999999999999956</v>
      </c>
    </row>
    <row r="55" spans="1:14" ht="19.5" customHeight="1">
      <c r="A55" s="80" t="s">
        <v>335</v>
      </c>
      <c r="B55" s="81">
        <f ca="1">AVERAGE(B13:B54)</f>
        <v>0.978871536688528</v>
      </c>
      <c r="C55" s="81"/>
      <c r="D55" s="81">
        <f t="shared" ref="D55:E55" ca="1" si="8">AVERAGE(D13:D54)</f>
        <v>0.98630037051423836</v>
      </c>
      <c r="E55" s="81">
        <f t="shared" ca="1" si="8"/>
        <v>0.9296243916159167</v>
      </c>
      <c r="F55" s="81"/>
      <c r="G55" s="81">
        <f t="shared" ref="G55:L55" ca="1" si="9">AVERAGE(G13:G54)</f>
        <v>0.83564180159541279</v>
      </c>
      <c r="H55" s="81">
        <f t="shared" ca="1" si="9"/>
        <v>0.92973836119553732</v>
      </c>
      <c r="I55" s="81">
        <f t="shared" ca="1" si="9"/>
        <v>0.9296243916159167</v>
      </c>
      <c r="J55" s="81">
        <f t="shared" ca="1" si="9"/>
        <v>0.97999999999999954</v>
      </c>
      <c r="K55" s="81">
        <f t="shared" ca="1" si="9"/>
        <v>0.83510183173599895</v>
      </c>
      <c r="L55" s="81">
        <f t="shared" ca="1" si="9"/>
        <v>2.3106792373921312</v>
      </c>
      <c r="N55" s="6"/>
    </row>
    <row r="56" spans="1:14" ht="15">
      <c r="A56" s="82" t="s">
        <v>370</v>
      </c>
      <c r="B56" s="83">
        <f ca="1">STDEV(B13:B54)</f>
        <v>2.9173925823313212E-3</v>
      </c>
      <c r="C56" s="83"/>
      <c r="D56" s="83">
        <f t="shared" ref="D56:E56" ca="1" si="10">STDEV(D13:D54)</f>
        <v>6.8983659503822009E-3</v>
      </c>
      <c r="E56" s="83">
        <f t="shared" ca="1" si="10"/>
        <v>9.8220488475281142E-2</v>
      </c>
      <c r="F56" s="83"/>
      <c r="G56" s="83">
        <f t="shared" ref="G56:L56" ca="1" si="11">STDEV(G13:G54)</f>
        <v>8.8903817772505445E-2</v>
      </c>
      <c r="H56" s="83">
        <f t="shared" ca="1" si="11"/>
        <v>5.540867445553703E-3</v>
      </c>
      <c r="I56" s="83">
        <f t="shared" ca="1" si="11"/>
        <v>9.8220488475281142E-2</v>
      </c>
      <c r="J56" s="83">
        <f t="shared" ca="1" si="11"/>
        <v>2.9436635871219325E-8</v>
      </c>
      <c r="K56" s="83">
        <f t="shared" ca="1" si="11"/>
        <v>7.6419743887877284E-2</v>
      </c>
      <c r="L56" s="83">
        <f t="shared" ca="1" si="11"/>
        <v>0.34717053646144591</v>
      </c>
      <c r="N56" s="6"/>
    </row>
    <row r="57" spans="1:14" ht="15">
      <c r="A57" s="82" t="s">
        <v>336</v>
      </c>
      <c r="B57" s="83">
        <f ca="1">MIN(B13:B54)</f>
        <v>0.97469560667272725</v>
      </c>
      <c r="C57" s="83"/>
      <c r="D57" s="83">
        <f t="shared" ref="D57:E57" ca="1" si="12">MIN(D13:D54)</f>
        <v>0.96371449487554905</v>
      </c>
      <c r="E57" s="83">
        <f t="shared" ca="1" si="12"/>
        <v>0.32922444786852156</v>
      </c>
      <c r="F57" s="83"/>
      <c r="G57" s="83">
        <f t="shared" ref="G57:L57" ca="1" si="13">MIN(G13:G54)</f>
        <v>0.29147662415482661</v>
      </c>
      <c r="H57" s="83">
        <f t="shared" ca="1" si="13"/>
        <v>0.92181463932327667</v>
      </c>
      <c r="I57" s="83">
        <f t="shared" ca="1" si="13"/>
        <v>0.32922444786852156</v>
      </c>
      <c r="J57" s="83">
        <f t="shared" ca="1" si="13"/>
        <v>0.98</v>
      </c>
      <c r="K57" s="83">
        <f t="shared" ca="1" si="13"/>
        <v>0.7</v>
      </c>
      <c r="L57" s="83">
        <f t="shared" ca="1" si="13"/>
        <v>0.67340456103417046</v>
      </c>
      <c r="N57" s="6"/>
    </row>
    <row r="58" spans="1:14" ht="15">
      <c r="A58" s="82" t="s">
        <v>337</v>
      </c>
      <c r="B58" s="83">
        <f ca="1">MAX(B13:B54)</f>
        <v>0.98313825222727269</v>
      </c>
      <c r="C58" s="83"/>
      <c r="D58" s="83">
        <f t="shared" ref="D58:E58" ca="1" si="14">MAX(D13:D54)</f>
        <v>0.9922245346161892</v>
      </c>
      <c r="E58" s="83">
        <f t="shared" ca="1" si="14"/>
        <v>0.95</v>
      </c>
      <c r="F58" s="83"/>
      <c r="G58" s="83">
        <f t="shared" ref="G58:L58" ca="1" si="15">MAX(G13:G54)</f>
        <v>0.87040035149855222</v>
      </c>
      <c r="H58" s="83">
        <f t="shared" ca="1" si="15"/>
        <v>0.93785299998879623</v>
      </c>
      <c r="I58" s="83">
        <f t="shared" ca="1" si="15"/>
        <v>0.95</v>
      </c>
      <c r="J58" s="83">
        <f t="shared" ca="1" si="15"/>
        <v>0.98</v>
      </c>
      <c r="K58" s="83">
        <f t="shared" ca="1" si="15"/>
        <v>0.91692033058711775</v>
      </c>
      <c r="L58" s="83">
        <f t="shared" ca="1" si="15"/>
        <v>2.6295081290916635</v>
      </c>
      <c r="N58" s="6"/>
    </row>
    <row r="59" spans="1:14">
      <c r="L59" s="5"/>
      <c r="M59" s="5"/>
    </row>
    <row r="60" spans="1:14">
      <c r="G60" s="6"/>
      <c r="H60" s="6"/>
      <c r="I60" s="6"/>
      <c r="J60" s="6"/>
      <c r="L60" s="7"/>
      <c r="M60" s="7"/>
    </row>
    <row r="61" spans="1:14">
      <c r="E61" s="6"/>
      <c r="F61" s="6"/>
      <c r="G61" s="6"/>
      <c r="H61" s="6"/>
      <c r="I61" s="6"/>
      <c r="J61" s="6"/>
      <c r="L61" s="7"/>
      <c r="M61" s="7"/>
    </row>
  </sheetData>
  <mergeCells count="12">
    <mergeCell ref="A11:D11"/>
    <mergeCell ref="I1:J1"/>
    <mergeCell ref="H3:J3"/>
    <mergeCell ref="H4:K4"/>
    <mergeCell ref="A5:B5"/>
    <mergeCell ref="H5:K5"/>
    <mergeCell ref="H6:K6"/>
    <mergeCell ref="H7:K7"/>
    <mergeCell ref="H8:K8"/>
    <mergeCell ref="A9:B9"/>
    <mergeCell ref="H9:J9"/>
    <mergeCell ref="A10:B10"/>
  </mergeCells>
  <phoneticPr fontId="26" type="noConversion"/>
  <printOptions gridLines="1"/>
  <pageMargins left="0.24" right="0.19" top="0.62" bottom="0.7" header="0.5" footer="0.5"/>
  <pageSetup scale="53" orientation="landscape" horizontalDpi="1200" verticalDpi="1200"/>
  <headerFooter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61"/>
  <sheetViews>
    <sheetView topLeftCell="A12" zoomScale="75" zoomScaleNormal="75" zoomScalePageLayoutView="75" workbookViewId="0">
      <selection activeCell="A13" sqref="A13:L54"/>
    </sheetView>
  </sheetViews>
  <sheetFormatPr baseColWidth="10" defaultColWidth="8.83203125" defaultRowHeight="12"/>
  <cols>
    <col min="1" max="1" width="11.33203125" customWidth="1"/>
    <col min="2" max="2" width="12.6640625" customWidth="1"/>
    <col min="3" max="3" width="12" customWidth="1"/>
    <col min="4" max="4" width="16" customWidth="1"/>
    <col min="5" max="5" width="10.6640625" customWidth="1"/>
    <col min="6" max="6" width="9.6640625" customWidth="1"/>
    <col min="7" max="7" width="9.83203125" customWidth="1"/>
    <col min="8" max="8" width="11.6640625" customWidth="1"/>
    <col min="9" max="9" width="12.5" customWidth="1"/>
    <col min="10" max="10" width="10.1640625" customWidth="1"/>
    <col min="11" max="11" width="9.6640625" customWidth="1"/>
    <col min="12" max="12" width="12" bestFit="1" customWidth="1"/>
    <col min="13" max="13" width="12.1640625" customWidth="1"/>
    <col min="14" max="14" width="10.33203125" customWidth="1"/>
  </cols>
  <sheetData>
    <row r="1" spans="1:15" ht="15.75" customHeight="1" thickBot="1">
      <c r="A1" s="30" t="s">
        <v>309</v>
      </c>
      <c r="G1" t="s">
        <v>238</v>
      </c>
      <c r="I1" s="211" t="str">
        <f ca="1">OFFSET('cycle4 AFTA filters 2'!$A$25,0,I2-1)</f>
        <v>H158</v>
      </c>
      <c r="J1" s="212"/>
    </row>
    <row r="2" spans="1:15" ht="13" customHeight="1" thickBot="1">
      <c r="A2" s="91" t="s">
        <v>334</v>
      </c>
      <c r="B2" s="91"/>
      <c r="C2" s="91"/>
      <c r="D2" s="91"/>
      <c r="E2" s="91"/>
      <c r="F2" s="91"/>
      <c r="G2" s="91"/>
      <c r="H2" s="91" t="s">
        <v>40</v>
      </c>
      <c r="I2" s="91">
        <v>3</v>
      </c>
      <c r="J2" s="91"/>
      <c r="K2" s="91"/>
      <c r="L2" s="91"/>
      <c r="M2" s="91"/>
      <c r="N2" s="91"/>
      <c r="O2" s="91"/>
    </row>
    <row r="3" spans="1:15" ht="14" thickBot="1">
      <c r="A3" s="91"/>
      <c r="B3" s="181" t="s">
        <v>310</v>
      </c>
      <c r="C3" s="181"/>
      <c r="D3" s="181" t="s">
        <v>333</v>
      </c>
      <c r="E3" s="207">
        <f ca="1">HLOOKUP($I$1,'cycle4 AFTA filters 2'!$B$25:$G$28,2)</f>
        <v>1.3797893414389899</v>
      </c>
      <c r="F3" s="128"/>
      <c r="G3" s="94"/>
      <c r="H3" s="213" t="s">
        <v>314</v>
      </c>
      <c r="I3" s="214"/>
      <c r="J3" s="214"/>
      <c r="K3" s="183" t="s">
        <v>323</v>
      </c>
      <c r="L3" s="93">
        <v>2.36</v>
      </c>
      <c r="M3" s="91" t="s">
        <v>237</v>
      </c>
      <c r="N3" s="91"/>
      <c r="O3" s="91"/>
    </row>
    <row r="4" spans="1:15" ht="13">
      <c r="A4" s="91"/>
      <c r="B4" s="181" t="s">
        <v>311</v>
      </c>
      <c r="C4" s="181"/>
      <c r="D4" s="155" t="s">
        <v>338</v>
      </c>
      <c r="E4" s="207">
        <f ca="1">HLOOKUP($I$1,'cycle4 AFTA filters 2'!$B$25:$G$28,3)</f>
        <v>1.7740148675644156</v>
      </c>
      <c r="F4" s="128"/>
      <c r="G4" s="94"/>
      <c r="H4" s="213" t="s">
        <v>313</v>
      </c>
      <c r="I4" s="213"/>
      <c r="J4" s="213"/>
      <c r="K4" s="213"/>
      <c r="L4" s="204">
        <f>F5+F6</f>
        <v>5</v>
      </c>
      <c r="M4" s="91"/>
      <c r="N4" s="105" t="s">
        <v>321</v>
      </c>
      <c r="O4" s="97">
        <f>$L$3^2*PI()/4</f>
        <v>4.3743536108584271</v>
      </c>
    </row>
    <row r="5" spans="1:15" ht="58.25" customHeight="1">
      <c r="A5" s="215">
        <v>41777</v>
      </c>
      <c r="B5" s="216"/>
      <c r="C5" s="184"/>
      <c r="D5" s="156" t="s">
        <v>19</v>
      </c>
      <c r="E5" s="99" t="s">
        <v>306</v>
      </c>
      <c r="F5" s="129">
        <v>2</v>
      </c>
      <c r="G5" s="94"/>
      <c r="H5" s="213" t="s">
        <v>195</v>
      </c>
      <c r="I5" s="213"/>
      <c r="J5" s="213"/>
      <c r="K5" s="213"/>
      <c r="L5" s="96">
        <f>ImC!$L$5</f>
        <v>0</v>
      </c>
      <c r="M5" s="91" t="s">
        <v>236</v>
      </c>
      <c r="N5" s="91"/>
      <c r="O5" s="97">
        <f ca="1">$O$4*(1-$L$6^2-$L$7-$L$8)</f>
        <v>3.5427889894342397</v>
      </c>
    </row>
    <row r="6" spans="1:15" ht="13">
      <c r="A6" s="91"/>
      <c r="B6" s="91"/>
      <c r="C6" s="91"/>
      <c r="D6" s="180" t="s">
        <v>20</v>
      </c>
      <c r="E6" s="100"/>
      <c r="F6" s="128">
        <v>3</v>
      </c>
      <c r="G6" s="94"/>
      <c r="H6" s="213" t="s">
        <v>315</v>
      </c>
      <c r="I6" s="213"/>
      <c r="J6" s="213"/>
      <c r="K6" s="213"/>
      <c r="L6" s="96">
        <v>0.31</v>
      </c>
      <c r="M6" s="91"/>
      <c r="N6" s="91"/>
      <c r="O6" s="97"/>
    </row>
    <row r="7" spans="1:15" ht="13">
      <c r="A7" s="154"/>
      <c r="B7" s="133"/>
      <c r="C7" s="133"/>
      <c r="D7" s="91" t="s">
        <v>333</v>
      </c>
      <c r="E7" s="209">
        <f ca="1">0.5*(E3+E4)</f>
        <v>1.5769021045017029</v>
      </c>
      <c r="F7" s="129"/>
      <c r="G7" s="91"/>
      <c r="H7" s="217" t="s">
        <v>235</v>
      </c>
      <c r="I7" s="217"/>
      <c r="J7" s="217"/>
      <c r="K7" s="217"/>
      <c r="L7" s="106">
        <v>5.3999999999999999E-2</v>
      </c>
      <c r="M7" s="91"/>
      <c r="N7" s="91"/>
      <c r="O7" s="91"/>
    </row>
    <row r="8" spans="1:15" ht="14" thickBot="1">
      <c r="A8" s="91" t="s">
        <v>248</v>
      </c>
      <c r="B8" s="91"/>
      <c r="C8" s="91"/>
      <c r="D8" s="91"/>
      <c r="E8" s="127">
        <f ca="1">1/E10</f>
        <v>4</v>
      </c>
      <c r="F8" s="128"/>
      <c r="G8" s="102"/>
      <c r="H8" s="217" t="s">
        <v>234</v>
      </c>
      <c r="I8" s="217"/>
      <c r="J8" s="217"/>
      <c r="K8" s="217"/>
      <c r="L8" s="106">
        <f ca="1">OFFSET('cycle4 AFTA filters 2'!$A$25,4,'H158'!I2-1)</f>
        <v>0.04</v>
      </c>
      <c r="M8" s="91"/>
      <c r="N8" s="91"/>
      <c r="O8" s="91"/>
    </row>
    <row r="9" spans="1:15" ht="14" thickBot="1">
      <c r="A9" s="217" t="s">
        <v>312</v>
      </c>
      <c r="B9" s="218"/>
      <c r="C9" s="182"/>
      <c r="D9" s="181" t="s">
        <v>333</v>
      </c>
      <c r="E9" s="103">
        <f ca="1">(E4-E3)/41</f>
        <v>9.6152567347664811E-3</v>
      </c>
      <c r="F9" s="103"/>
      <c r="G9" s="91"/>
      <c r="H9" s="217" t="s">
        <v>317</v>
      </c>
      <c r="I9" s="217"/>
      <c r="J9" s="217"/>
      <c r="K9" s="181"/>
      <c r="L9" s="101">
        <v>0.02</v>
      </c>
      <c r="M9" s="91"/>
      <c r="N9" s="91"/>
      <c r="O9" s="91"/>
    </row>
    <row r="10" spans="1:15" ht="14.25" customHeight="1">
      <c r="A10" s="217" t="s">
        <v>316</v>
      </c>
      <c r="B10" s="218"/>
      <c r="C10" s="182"/>
      <c r="D10" s="182"/>
      <c r="E10" s="102">
        <f ca="1">(E4-E3)/((E3+E4)/2)</f>
        <v>0.25</v>
      </c>
      <c r="F10" s="102"/>
      <c r="G10" s="91"/>
      <c r="H10" s="91"/>
      <c r="I10" s="91" t="s">
        <v>190</v>
      </c>
      <c r="J10" s="91"/>
      <c r="K10" s="104" t="s">
        <v>186</v>
      </c>
      <c r="L10" s="96">
        <v>0</v>
      </c>
      <c r="M10" s="91"/>
      <c r="N10" s="91"/>
      <c r="O10" s="91"/>
    </row>
    <row r="11" spans="1:15" ht="14.25" customHeight="1" thickBot="1">
      <c r="A11" s="219" t="s">
        <v>247</v>
      </c>
      <c r="B11" s="220"/>
      <c r="C11" s="220"/>
      <c r="D11" s="220"/>
      <c r="E11" s="102">
        <v>0.95</v>
      </c>
      <c r="F11" s="102"/>
      <c r="G11" s="91"/>
      <c r="H11" s="91"/>
      <c r="I11" s="91"/>
      <c r="J11" s="91"/>
      <c r="K11" s="91"/>
      <c r="L11" s="91" t="s">
        <v>342</v>
      </c>
      <c r="M11" s="91"/>
      <c r="N11" s="91"/>
      <c r="O11" s="91"/>
    </row>
    <row r="12" spans="1:15" ht="64.5" customHeight="1">
      <c r="A12" s="84" t="s">
        <v>165</v>
      </c>
      <c r="B12" s="85" t="s">
        <v>0</v>
      </c>
      <c r="C12" s="85" t="s">
        <v>18</v>
      </c>
      <c r="D12" s="85" t="s">
        <v>367</v>
      </c>
      <c r="E12" s="85" t="s">
        <v>196</v>
      </c>
      <c r="F12" s="85" t="s">
        <v>189</v>
      </c>
      <c r="G12" s="85" t="s">
        <v>191</v>
      </c>
      <c r="H12" s="85" t="s">
        <v>324</v>
      </c>
      <c r="I12" s="86" t="s">
        <v>325</v>
      </c>
      <c r="J12" s="85" t="s">
        <v>183</v>
      </c>
      <c r="K12" s="85" t="s">
        <v>341</v>
      </c>
      <c r="L12" s="85" t="s">
        <v>320</v>
      </c>
      <c r="N12" s="5" t="s">
        <v>322</v>
      </c>
    </row>
    <row r="13" spans="1:15" ht="15.75" customHeight="1">
      <c r="A13" s="78">
        <f ca="1">E3</f>
        <v>1.3797893414389899</v>
      </c>
      <c r="B13" s="83">
        <f ca="1">IF($A13&lt;&gt;"",IF($E$5="pAu",VLOOKUP(A13,pAg!$A$2:$C$47,3),VLOOKUP(A13,pAg!$O$3:$P1203,2)),"")</f>
        <v>0.9781226652727274</v>
      </c>
      <c r="C13" s="83">
        <f ca="1">VLOOKUP(A13,pAg!$A$7:$C$47,3)</f>
        <v>0.99</v>
      </c>
      <c r="D13" s="87">
        <f ca="1">IF($A13&lt;&gt;"",1-VLOOKUP($N13,'AR sim'!$E$10:$F$38,2)*'H158'!$E$10/'AR sim'!$D$42,"")</f>
        <v>0.98762499999999998</v>
      </c>
      <c r="E13" s="208">
        <f ca="1">VLOOKUP($A13,'cycle4 AFTA filters 2'!$A$34:$G$181,'H158'!$I$2)</f>
        <v>0.34273174023945097</v>
      </c>
      <c r="F13" s="87">
        <f>IF($L$10=1, IF($K$10="R",VLOOKUP($A13,dichroic!$F$5:$H$1232,3),VLOOKUP($A13,dichroic!$F$5:$H$1232,2)),1)</f>
        <v>1</v>
      </c>
      <c r="G13" s="83">
        <f ca="1">IF($A13&lt;&gt;"",$B13^$L$4*$D13^(2*($L$5))*$E13*$F13,"")</f>
        <v>0.30684633405874462</v>
      </c>
      <c r="H13" s="83">
        <f ca="1">IF($A13&lt;&gt;"",$B13^$F$5*$C13^$F$6,"")</f>
        <v>0.9283082903311648</v>
      </c>
      <c r="I13" s="83">
        <f t="shared" ref="I13:I54" ca="1" si="0">IF($A13&lt;&gt;"",$D13^(2*($L$5))*$E13,"")</f>
        <v>0.34273174023945097</v>
      </c>
      <c r="J13" s="89">
        <f t="shared" ref="J13:J54" ca="1" si="1">IF($A13&lt;&gt;"",(1-$L$9),"")</f>
        <v>0.98</v>
      </c>
      <c r="K13" s="46">
        <f ca="1">VLOOKUP($A13,'SWIR data'!$A$5:$K$795,11)/100</f>
        <v>0.83997283687023039</v>
      </c>
      <c r="L13" s="90">
        <f t="shared" ref="L13:L54" ca="1" si="2">IF($A13&lt;&gt;"",G13*$K13*$J13*$O$5,"")</f>
        <v>0.89486504284061308</v>
      </c>
      <c r="N13" s="6">
        <f t="shared" ref="N13:N54" ca="1" si="3">($A13-$E$3)/($E$4-$E$3)</f>
        <v>0</v>
      </c>
    </row>
    <row r="14" spans="1:15" ht="15.75" customHeight="1">
      <c r="A14" s="79">
        <f t="shared" ref="A14:A54" ca="1" si="4">IF(A13&lt;&gt;"",IF(A13+$E$9&gt;$E$4,"",A13+$E$9),"")</f>
        <v>1.3894045981737564</v>
      </c>
      <c r="B14" s="83">
        <f ca="1">IF($A14&lt;&gt;"",IF($E$5="pAu",VLOOKUP(A14,pAg!$A$2:$C$47,3),VLOOKUP(A14,pAg!$O$3:$P1204,2)),"")</f>
        <v>0.97830379235909082</v>
      </c>
      <c r="C14" s="83">
        <f ca="1">VLOOKUP(A14,pAg!$A$7:$C$47,3)</f>
        <v>0.99</v>
      </c>
      <c r="D14" s="87">
        <f ca="1">IF($A14&lt;&gt;"",1-VLOOKUP($N14,'AR sim'!$E$10:$F$38,2)*'H158'!$E$10/'AR sim'!$D$42,"")</f>
        <v>0.98762499999999998</v>
      </c>
      <c r="E14" s="88">
        <f ca="1">VLOOKUP($A14,'cycle4 AFTA filters 2'!$A$34:$G$181,'H158'!$I$2)</f>
        <v>0.50338428335555407</v>
      </c>
      <c r="F14" s="87">
        <f>IF($L$10=1, IF($K$10="R",VLOOKUP($A14,dichroic!$F$5:$H$1232,3),VLOOKUP($A14,dichroic!$F$5:$H$1232,2)),1)</f>
        <v>1</v>
      </c>
      <c r="G14" s="83">
        <f t="shared" ref="G14:G54" ca="1" si="5">IF($A14&lt;&gt;"",$B14^$L$4*$D14^(2*($L$5))*$E14*$F14,"")</f>
        <v>0.45109533636074683</v>
      </c>
      <c r="H14" s="83">
        <f t="shared" ref="H14:H54" ca="1" si="6">IF($A14&lt;&gt;"",$B14^$F$5*$C14^$F$6,"")</f>
        <v>0.92865212725458679</v>
      </c>
      <c r="I14" s="83">
        <f t="shared" ca="1" si="0"/>
        <v>0.50338428335555407</v>
      </c>
      <c r="J14" s="89">
        <f t="shared" ca="1" si="1"/>
        <v>0.98</v>
      </c>
      <c r="K14" s="46">
        <f ca="1">VLOOKUP($A14,'SWIR data'!$A$5:$K$795,11)/100</f>
        <v>0.84288068186931719</v>
      </c>
      <c r="L14" s="90">
        <f t="shared" ca="1" si="2"/>
        <v>1.3200968641996011</v>
      </c>
      <c r="N14" s="6">
        <f t="shared" ca="1" si="3"/>
        <v>2.4390243902439039E-2</v>
      </c>
    </row>
    <row r="15" spans="1:15" ht="16.5" customHeight="1">
      <c r="A15" s="79">
        <f t="shared" ca="1" si="4"/>
        <v>1.3990198549085229</v>
      </c>
      <c r="B15" s="83">
        <f ca="1">IF($A15&lt;&gt;"",IF($E$5="pAu",VLOOKUP(A15,pAg!$A$2:$C$47,3),VLOOKUP(A15,pAg!$O$3:$P1205,2)),"")</f>
        <v>0.97833228463636357</v>
      </c>
      <c r="C15" s="83">
        <f ca="1">VLOOKUP(A15,pAg!$A$7:$C$47,3)</f>
        <v>0.99</v>
      </c>
      <c r="D15" s="87">
        <f ca="1">IF($A15&lt;&gt;"",1-VLOOKUP($N15,'AR sim'!$E$10:$F$38,2)*'H158'!$E$10/'AR sim'!$D$42,"")</f>
        <v>0.99027678571428568</v>
      </c>
      <c r="E15" s="88">
        <f ca="1">VLOOKUP($A15,'cycle4 AFTA filters 2'!$A$34:$G$181,'H158'!$I$2)</f>
        <v>0.66403682647165718</v>
      </c>
      <c r="F15" s="87">
        <f>IF($L$10=1, IF($K$10="R",VLOOKUP($A15,dichroic!$F$5:$H$1232,3),VLOOKUP($A15,dichroic!$F$5:$H$1232,2)),1)</f>
        <v>1</v>
      </c>
      <c r="G15" s="83">
        <f t="shared" ca="1" si="5"/>
        <v>0.59514678520208153</v>
      </c>
      <c r="H15" s="83">
        <f t="shared" ca="1" si="6"/>
        <v>0.92870622047064177</v>
      </c>
      <c r="I15" s="83">
        <f t="shared" ca="1" si="0"/>
        <v>0.66403682647165718</v>
      </c>
      <c r="J15" s="89">
        <f t="shared" ca="1" si="1"/>
        <v>0.98</v>
      </c>
      <c r="K15" s="46">
        <f ca="1">VLOOKUP($A15,'SWIR data'!$A$5:$K$795,11)/100</f>
        <v>0.84571405395336485</v>
      </c>
      <c r="L15" s="90">
        <f t="shared" ca="1" si="2"/>
        <v>1.7475073122370928</v>
      </c>
      <c r="N15" s="6">
        <f t="shared" ca="1" si="3"/>
        <v>4.8780487804878078E-2</v>
      </c>
    </row>
    <row r="16" spans="1:15" ht="14.25" customHeight="1">
      <c r="A16" s="79">
        <f t="shared" ca="1" si="4"/>
        <v>1.4086351116432894</v>
      </c>
      <c r="B16" s="83">
        <f ca="1">IF($A16&lt;&gt;"",IF($E$5="pAu",VLOOKUP(A16,pAg!$A$2:$C$47,3),VLOOKUP(A16,pAg!$O$3:$P1206,2)),"")</f>
        <v>0.97819953083181832</v>
      </c>
      <c r="C16" s="83">
        <f ca="1">VLOOKUP(A16,pAg!$A$7:$C$47,3)</f>
        <v>0.99</v>
      </c>
      <c r="D16" s="87">
        <f ca="1">IF($A16&lt;&gt;"",1-VLOOKUP($N16,'AR sim'!$E$10:$F$38,2)*'H158'!$E$10/'AR sim'!$D$42,"")</f>
        <v>0.99292857142857138</v>
      </c>
      <c r="E16" s="88">
        <f ca="1">VLOOKUP($A16,'cycle4 AFTA filters 2'!$A$34:$G$181,'H158'!$I$2)</f>
        <v>0.82468936958776029</v>
      </c>
      <c r="F16" s="87">
        <f>IF($L$10=1, IF($K$10="R",VLOOKUP($A16,dichroic!$F$5:$H$1232,3),VLOOKUP($A16,dichroic!$F$5:$H$1232,2)),1)</f>
        <v>1</v>
      </c>
      <c r="G16" s="83">
        <f t="shared" ca="1" si="5"/>
        <v>0.73863119823465462</v>
      </c>
      <c r="H16" s="83">
        <f t="shared" ca="1" si="6"/>
        <v>0.9284541978783154</v>
      </c>
      <c r="I16" s="83">
        <f t="shared" ca="1" si="0"/>
        <v>0.82468936958776029</v>
      </c>
      <c r="J16" s="89">
        <f t="shared" ca="1" si="1"/>
        <v>0.98</v>
      </c>
      <c r="K16" s="46">
        <f ca="1">VLOOKUP($A16,'SWIR data'!$A$5:$K$795,11)/100</f>
        <v>0.8484904129151809</v>
      </c>
      <c r="L16" s="90">
        <f t="shared" ca="1" si="2"/>
        <v>2.1759351556563677</v>
      </c>
      <c r="N16" s="6">
        <f t="shared" ca="1" si="3"/>
        <v>7.317073170731711E-2</v>
      </c>
    </row>
    <row r="17" spans="1:14" ht="15">
      <c r="A17" s="79">
        <f t="shared" ca="1" si="4"/>
        <v>1.4182503683780558</v>
      </c>
      <c r="B17" s="83">
        <f ca="1">IF($A17&lt;&gt;"",IF($E$5="pAu",VLOOKUP(A17,pAg!$A$2:$C$47,3),VLOOKUP(A17,pAg!$O$3:$P1207,2)),"")</f>
        <v>0.97829194462272728</v>
      </c>
      <c r="C17" s="83">
        <f ca="1">VLOOKUP(A17,pAg!$A$7:$C$47,3)</f>
        <v>0.99</v>
      </c>
      <c r="D17" s="87">
        <f ca="1">IF($A17&lt;&gt;"",1-VLOOKUP($N17,'AR sim'!$E$10:$F$38,2)*'H158'!$E$10/'AR sim'!$D$42,"")</f>
        <v>0.99292857142857138</v>
      </c>
      <c r="E17" s="88">
        <f ca="1">VLOOKUP($A17,'cycle4 AFTA filters 2'!$A$34:$G$181,'H158'!$I$2)</f>
        <v>0.95</v>
      </c>
      <c r="F17" s="87">
        <f>IF($L$10=1, IF($K$10="R",VLOOKUP($A17,dichroic!$F$5:$H$1232,3),VLOOKUP($A17,dichroic!$F$5:$H$1232,2)),1)</f>
        <v>1</v>
      </c>
      <c r="G17" s="83">
        <f t="shared" ca="1" si="5"/>
        <v>0.85126738192452334</v>
      </c>
      <c r="H17" s="83">
        <f t="shared" ca="1" si="6"/>
        <v>0.92862963452985092</v>
      </c>
      <c r="I17" s="83">
        <f t="shared" ca="1" si="0"/>
        <v>0.95</v>
      </c>
      <c r="J17" s="89">
        <f t="shared" ca="1" si="1"/>
        <v>0.98</v>
      </c>
      <c r="K17" s="46">
        <f ca="1">VLOOKUP($A17,'SWIR data'!$A$5:$K$795,11)/100</f>
        <v>0.85120068177562191</v>
      </c>
      <c r="L17" s="90">
        <f t="shared" ca="1" si="2"/>
        <v>2.5157606367628258</v>
      </c>
      <c r="N17" s="6">
        <f t="shared" ca="1" si="3"/>
        <v>9.7560975609756156E-2</v>
      </c>
    </row>
    <row r="18" spans="1:14" ht="15">
      <c r="A18" s="79">
        <f t="shared" ca="1" si="4"/>
        <v>1.4278656251128223</v>
      </c>
      <c r="B18" s="83">
        <f ca="1">IF($A18&lt;&gt;"",IF($E$5="pAu",VLOOKUP(A18,pAg!$A$2:$C$47,3),VLOOKUP(A18,pAg!$O$3:$P1208,2)),"")</f>
        <v>0.97856991144090899</v>
      </c>
      <c r="C18" s="83">
        <f ca="1">VLOOKUP(A18,pAg!$A$7:$C$47,3)</f>
        <v>0.99</v>
      </c>
      <c r="D18" s="87">
        <f ca="1">IF($A18&lt;&gt;"",1-VLOOKUP($N18,'AR sim'!$E$10:$F$38,2)*'H158'!$E$10/'AR sim'!$D$42,"")</f>
        <v>0.99469642857142859</v>
      </c>
      <c r="E18" s="88">
        <f ca="1">VLOOKUP($A18,'cycle4 AFTA filters 2'!$A$34:$G$181,'H158'!$I$2)</f>
        <v>0.95</v>
      </c>
      <c r="F18" s="87">
        <f>IF($L$10=1, IF($K$10="R",VLOOKUP($A18,dichroic!$F$5:$H$1232,3),VLOOKUP($A18,dichroic!$F$5:$H$1232,2)),1)</f>
        <v>1</v>
      </c>
      <c r="G18" s="83">
        <f t="shared" ca="1" si="5"/>
        <v>0.85247744294658723</v>
      </c>
      <c r="H18" s="83">
        <f t="shared" ca="1" si="6"/>
        <v>0.92915742155254599</v>
      </c>
      <c r="I18" s="83">
        <f t="shared" ca="1" si="0"/>
        <v>0.95</v>
      </c>
      <c r="J18" s="89">
        <f t="shared" ca="1" si="1"/>
        <v>0.98</v>
      </c>
      <c r="K18" s="46">
        <f ca="1">VLOOKUP($A18,'SWIR data'!$A$5:$K$795,11)/100</f>
        <v>0.85384452565149782</v>
      </c>
      <c r="L18" s="90">
        <f t="shared" ca="1" si="2"/>
        <v>2.5271618475366373</v>
      </c>
      <c r="N18" s="6">
        <f t="shared" ca="1" si="3"/>
        <v>0.12195121951219519</v>
      </c>
    </row>
    <row r="19" spans="1:14" ht="15">
      <c r="A19" s="79">
        <f t="shared" ca="1" si="4"/>
        <v>1.4374808818475888</v>
      </c>
      <c r="B19" s="83">
        <f ca="1">IF($A19&lt;&gt;"",IF($E$5="pAu",VLOOKUP(A19,pAg!$A$2:$C$47,3),VLOOKUP(A19,pAg!$O$3:$P1209,2)),"")</f>
        <v>0.97890864471818173</v>
      </c>
      <c r="C19" s="83">
        <f ca="1">VLOOKUP(A19,pAg!$A$7:$C$47,3)</f>
        <v>0.99</v>
      </c>
      <c r="D19" s="87">
        <f ca="1">IF($A19&lt;&gt;"",1-VLOOKUP($N19,'AR sim'!$E$10:$F$38,2)*'H158'!$E$10/'AR sim'!$D$42,"")</f>
        <v>0.99646428571428569</v>
      </c>
      <c r="E19" s="88">
        <f ca="1">VLOOKUP($A19,'cycle4 AFTA filters 2'!$A$34:$G$181,'H158'!$I$2)</f>
        <v>0.95</v>
      </c>
      <c r="F19" s="87">
        <f>IF($L$10=1, IF($K$10="R",VLOOKUP($A19,dichroic!$F$5:$H$1232,3),VLOOKUP($A19,dichroic!$F$5:$H$1232,2)),1)</f>
        <v>1</v>
      </c>
      <c r="G19" s="83">
        <f t="shared" ca="1" si="5"/>
        <v>0.85395389575244018</v>
      </c>
      <c r="H19" s="83">
        <f t="shared" ca="1" si="6"/>
        <v>0.9298007910411441</v>
      </c>
      <c r="I19" s="83">
        <f t="shared" ca="1" si="0"/>
        <v>0.95</v>
      </c>
      <c r="J19" s="89">
        <f t="shared" ca="1" si="1"/>
        <v>0.98</v>
      </c>
      <c r="K19" s="46">
        <f ca="1">VLOOKUP($A19,'SWIR data'!$A$5:$K$795,11)/100</f>
        <v>0.8564219099411039</v>
      </c>
      <c r="L19" s="90">
        <f t="shared" ca="1" si="2"/>
        <v>2.5391803904873975</v>
      </c>
      <c r="N19" s="6">
        <f t="shared" ca="1" si="3"/>
        <v>0.14634146341463422</v>
      </c>
    </row>
    <row r="20" spans="1:14" ht="15">
      <c r="A20" s="79">
        <f t="shared" ca="1" si="4"/>
        <v>1.4470961385823553</v>
      </c>
      <c r="B20" s="83">
        <f ca="1">IF($A20&lt;&gt;"",IF($E$5="pAu",VLOOKUP(A20,pAg!$A$2:$C$47,3),VLOOKUP(A20,pAg!$O$3:$P1210,2)),"")</f>
        <v>0.97904180918636352</v>
      </c>
      <c r="C20" s="83">
        <f ca="1">VLOOKUP(A20,pAg!$A$7:$C$47,3)</f>
        <v>0.99</v>
      </c>
      <c r="D20" s="87">
        <f ca="1">IF($A20&lt;&gt;"",1-VLOOKUP($N20,'AR sim'!$E$10:$F$38,2)*'H158'!$E$10/'AR sim'!$D$42,"")</f>
        <v>0.99646428571428569</v>
      </c>
      <c r="E20" s="88">
        <f ca="1">VLOOKUP($A20,'cycle4 AFTA filters 2'!$A$34:$G$181,'H158'!$I$2)</f>
        <v>0.95</v>
      </c>
      <c r="F20" s="87">
        <f>IF($L$10=1, IF($K$10="R",VLOOKUP($A20,dichroic!$F$5:$H$1232,3),VLOOKUP($A20,dichroic!$F$5:$H$1232,2)),1)</f>
        <v>1</v>
      </c>
      <c r="G20" s="83">
        <f t="shared" ca="1" si="5"/>
        <v>0.85453488591777582</v>
      </c>
      <c r="H20" s="83">
        <f t="shared" ca="1" si="6"/>
        <v>0.93005377654723687</v>
      </c>
      <c r="I20" s="83">
        <f t="shared" ca="1" si="0"/>
        <v>0.95</v>
      </c>
      <c r="J20" s="89">
        <f t="shared" ca="1" si="1"/>
        <v>0.98</v>
      </c>
      <c r="K20" s="46">
        <f ca="1">VLOOKUP($A20,'SWIR data'!$A$5:$K$795,11)/100</f>
        <v>0.85894130158014448</v>
      </c>
      <c r="L20" s="90">
        <f t="shared" ca="1" si="2"/>
        <v>2.5483826826384011</v>
      </c>
      <c r="N20" s="6">
        <f t="shared" ca="1" si="3"/>
        <v>0.17073170731707327</v>
      </c>
    </row>
    <row r="21" spans="1:14" ht="15">
      <c r="A21" s="79">
        <f t="shared" ca="1" si="4"/>
        <v>1.4567113953171218</v>
      </c>
      <c r="B21" s="83">
        <f ca="1">IF($A21&lt;&gt;"",IF($E$5="pAu",VLOOKUP(A21,pAg!$A$2:$C$47,3),VLOOKUP(A21,pAg!$O$3:$P1211,2)),"")</f>
        <v>0.97921680345454543</v>
      </c>
      <c r="C21" s="83">
        <f ca="1">VLOOKUP(A21,pAg!$A$7:$C$47,3)</f>
        <v>0.99</v>
      </c>
      <c r="D21" s="87">
        <f ca="1">IF($A21&lt;&gt;"",1-VLOOKUP($N21,'AR sim'!$E$10:$F$38,2)*'H158'!$E$10/'AR sim'!$D$42,"")</f>
        <v>0.99668526785714284</v>
      </c>
      <c r="E21" s="88">
        <f ca="1">VLOOKUP($A21,'cycle4 AFTA filters 2'!$A$34:$G$181,'H158'!$I$2)</f>
        <v>0.95</v>
      </c>
      <c r="F21" s="87">
        <f>IF($L$10=1, IF($K$10="R",VLOOKUP($A21,dichroic!$F$5:$H$1232,3),VLOOKUP($A21,dichroic!$F$5:$H$1232,2)),1)</f>
        <v>1</v>
      </c>
      <c r="G21" s="83">
        <f t="shared" ca="1" si="5"/>
        <v>0.85529885826476171</v>
      </c>
      <c r="H21" s="83">
        <f t="shared" ca="1" si="6"/>
        <v>0.93038628252160782</v>
      </c>
      <c r="I21" s="83">
        <f t="shared" ca="1" si="0"/>
        <v>0.95</v>
      </c>
      <c r="J21" s="89">
        <f t="shared" ca="1" si="1"/>
        <v>0.98</v>
      </c>
      <c r="K21" s="46">
        <f ca="1">VLOOKUP($A21,'SWIR data'!$A$5:$K$795,11)/100</f>
        <v>0.86138477167748206</v>
      </c>
      <c r="L21" s="90">
        <f t="shared" ca="1" si="2"/>
        <v>2.557916974349598</v>
      </c>
      <c r="N21" s="6">
        <f t="shared" ca="1" si="3"/>
        <v>0.19512195121951231</v>
      </c>
    </row>
    <row r="22" spans="1:14" ht="15">
      <c r="A22" s="79">
        <f t="shared" ca="1" si="4"/>
        <v>1.4663266520518883</v>
      </c>
      <c r="B22" s="83">
        <f ca="1">IF($A22&lt;&gt;"",IF($E$5="pAu",VLOOKUP(A22,pAg!$A$2:$C$47,3),VLOOKUP(A22,pAg!$O$3:$P1212,2)),"")</f>
        <v>0.97937314418636379</v>
      </c>
      <c r="C22" s="83">
        <f ca="1">VLOOKUP(A22,pAg!$A$7:$C$47,3)</f>
        <v>0.99</v>
      </c>
      <c r="D22" s="87">
        <f ca="1">IF($A22&lt;&gt;"",1-VLOOKUP($N22,'AR sim'!$E$10:$F$38,2)*'H158'!$E$10/'AR sim'!$D$42,"")</f>
        <v>0.99690624999999999</v>
      </c>
      <c r="E22" s="88">
        <f ca="1">VLOOKUP($A22,'cycle4 AFTA filters 2'!$A$34:$G$181,'H158'!$I$2)</f>
        <v>0.95</v>
      </c>
      <c r="F22" s="87">
        <f>IF($L$10=1, IF($K$10="R",VLOOKUP($A22,dichroic!$F$5:$H$1232,3),VLOOKUP($A22,dichroic!$F$5:$H$1232,2)),1)</f>
        <v>1</v>
      </c>
      <c r="G22" s="83">
        <f t="shared" ca="1" si="5"/>
        <v>0.85598185693440521</v>
      </c>
      <c r="H22" s="83">
        <f t="shared" ca="1" si="6"/>
        <v>0.93068339524179</v>
      </c>
      <c r="I22" s="83">
        <f t="shared" ca="1" si="0"/>
        <v>0.95</v>
      </c>
      <c r="J22" s="89">
        <f t="shared" ca="1" si="1"/>
        <v>0.98</v>
      </c>
      <c r="K22" s="46">
        <f ca="1">VLOOKUP($A22,'SWIR data'!$A$5:$K$795,11)/100</f>
        <v>0.86372579387391968</v>
      </c>
      <c r="L22" s="90">
        <f t="shared" ca="1" si="2"/>
        <v>2.5669169098245752</v>
      </c>
      <c r="N22" s="6">
        <f t="shared" ca="1" si="3"/>
        <v>0.21951219512195133</v>
      </c>
    </row>
    <row r="23" spans="1:14" ht="15">
      <c r="A23" s="79">
        <f t="shared" ca="1" si="4"/>
        <v>1.4759419087866548</v>
      </c>
      <c r="B23" s="83">
        <f ca="1">IF($A23&lt;&gt;"",IF($E$5="pAu",VLOOKUP(A23,pAg!$A$2:$C$47,3),VLOOKUP(A23,pAg!$O$3:$P1213,2)),"")</f>
        <v>0.97946247619090909</v>
      </c>
      <c r="C23" s="83">
        <f ca="1">VLOOKUP(A23,pAg!$A$7:$C$47,3)</f>
        <v>0.99</v>
      </c>
      <c r="D23" s="87">
        <f ca="1">IF($A23&lt;&gt;"",1-VLOOKUP($N23,'AR sim'!$E$10:$F$38,2)*'H158'!$E$10/'AR sim'!$D$42,"")</f>
        <v>0.99690624999999999</v>
      </c>
      <c r="E23" s="88">
        <f ca="1">VLOOKUP($A23,'cycle4 AFTA filters 2'!$A$34:$G$181,'H158'!$I$2)</f>
        <v>0.95</v>
      </c>
      <c r="F23" s="87">
        <f>IF($L$10=1, IF($K$10="R",VLOOKUP($A23,dichroic!$F$5:$H$1232,3),VLOOKUP($A23,dichroic!$F$5:$H$1232,2)),1)</f>
        <v>1</v>
      </c>
      <c r="G23" s="83">
        <f t="shared" ca="1" si="5"/>
        <v>0.85637231345458475</v>
      </c>
      <c r="H23" s="83">
        <f t="shared" ca="1" si="6"/>
        <v>0.93085318467398381</v>
      </c>
      <c r="I23" s="83">
        <f t="shared" ca="1" si="0"/>
        <v>0.95</v>
      </c>
      <c r="J23" s="89">
        <f t="shared" ca="1" si="1"/>
        <v>0.98</v>
      </c>
      <c r="K23" s="46">
        <f ca="1">VLOOKUP($A23,'SWIR data'!$A$5:$K$795,11)/100</f>
        <v>0.86576963443435173</v>
      </c>
      <c r="L23" s="90">
        <f t="shared" ca="1" si="2"/>
        <v>2.5741646948231542</v>
      </c>
      <c r="N23" s="6">
        <f t="shared" ca="1" si="3"/>
        <v>0.24390243902439038</v>
      </c>
    </row>
    <row r="24" spans="1:14" ht="15">
      <c r="A24" s="79">
        <f t="shared" ca="1" si="4"/>
        <v>1.4855571655214213</v>
      </c>
      <c r="B24" s="83">
        <f ca="1">IF($A24&lt;&gt;"",IF($E$5="pAu",VLOOKUP(A24,pAg!$A$2:$C$47,3),VLOOKUP(A24,pAg!$O$3:$P1214,2)),"")</f>
        <v>0.97958681048636365</v>
      </c>
      <c r="C24" s="83">
        <f ca="1">VLOOKUP(A24,pAg!$A$7:$C$47,3)</f>
        <v>0.99</v>
      </c>
      <c r="D24" s="87">
        <f ca="1">IF($A24&lt;&gt;"",1-VLOOKUP($N24,'AR sim'!$E$10:$F$38,2)*'H158'!$E$10/'AR sim'!$D$42,"")</f>
        <v>0.99712723214285715</v>
      </c>
      <c r="E24" s="88">
        <f ca="1">VLOOKUP($A24,'cycle4 AFTA filters 2'!$A$34:$G$181,'H158'!$I$2)</f>
        <v>0.95</v>
      </c>
      <c r="F24" s="87">
        <f>IF($L$10=1, IF($K$10="R",VLOOKUP($A24,dichroic!$F$5:$H$1232,3),VLOOKUP($A24,dichroic!$F$5:$H$1232,2)),1)</f>
        <v>1</v>
      </c>
      <c r="G24" s="83">
        <f t="shared" ca="1" si="5"/>
        <v>0.85691599678493402</v>
      </c>
      <c r="H24" s="83">
        <f t="shared" ca="1" si="6"/>
        <v>0.93108952720594584</v>
      </c>
      <c r="I24" s="83">
        <f t="shared" ca="1" si="0"/>
        <v>0.95</v>
      </c>
      <c r="J24" s="89">
        <f t="shared" ca="1" si="1"/>
        <v>0.98</v>
      </c>
      <c r="K24" s="46">
        <f ca="1">VLOOKUP($A24,'SWIR data'!$A$5:$K$795,11)/100</f>
        <v>0.86775389464113761</v>
      </c>
      <c r="L24" s="90">
        <f t="shared" ca="1" si="2"/>
        <v>2.5817024313597625</v>
      </c>
      <c r="N24" s="6">
        <f t="shared" ca="1" si="3"/>
        <v>0.2682926829268294</v>
      </c>
    </row>
    <row r="25" spans="1:14" ht="15">
      <c r="A25" s="79">
        <f t="shared" ca="1" si="4"/>
        <v>1.4951724222561877</v>
      </c>
      <c r="B25" s="83">
        <f ca="1">IF($A25&lt;&gt;"",IF($E$5="pAu",VLOOKUP(A25,pAg!$A$2:$C$47,3),VLOOKUP(A25,pAg!$O$3:$P1215,2)),"")</f>
        <v>0.97967316020454531</v>
      </c>
      <c r="C25" s="83">
        <f ca="1">VLOOKUP(A25,pAg!$A$7:$C$47,3)</f>
        <v>0.99</v>
      </c>
      <c r="D25" s="87">
        <f ca="1">IF($A25&lt;&gt;"",1-VLOOKUP($N25,'AR sim'!$E$10:$F$38,2)*'H158'!$E$10/'AR sim'!$D$42,"")</f>
        <v>0.9973482142857143</v>
      </c>
      <c r="E25" s="88">
        <f ca="1">VLOOKUP($A25,'cycle4 AFTA filters 2'!$A$34:$G$181,'H158'!$I$2)</f>
        <v>0.95</v>
      </c>
      <c r="F25" s="87">
        <f>IF($L$10=1, IF($K$10="R",VLOOKUP($A25,dichroic!$F$5:$H$1232,3),VLOOKUP($A25,dichroic!$F$5:$H$1232,2)),1)</f>
        <v>1</v>
      </c>
      <c r="G25" s="83">
        <f t="shared" ca="1" si="5"/>
        <v>0.85729374534319369</v>
      </c>
      <c r="H25" s="83">
        <f t="shared" ca="1" si="6"/>
        <v>0.93125368389115248</v>
      </c>
      <c r="I25" s="83">
        <f t="shared" ca="1" si="0"/>
        <v>0.95</v>
      </c>
      <c r="J25" s="89">
        <f t="shared" ca="1" si="1"/>
        <v>0.98</v>
      </c>
      <c r="K25" s="46">
        <f ca="1">VLOOKUP($A25,'SWIR data'!$A$5:$K$795,11)/100</f>
        <v>0.86968742174278291</v>
      </c>
      <c r="L25" s="90">
        <f t="shared" ca="1" si="2"/>
        <v>2.588595584893985</v>
      </c>
      <c r="N25" s="6">
        <f t="shared" ca="1" si="3"/>
        <v>0.29268292682926844</v>
      </c>
    </row>
    <row r="26" spans="1:14" ht="15">
      <c r="A26" s="79">
        <f t="shared" ca="1" si="4"/>
        <v>1.5047876789909542</v>
      </c>
      <c r="B26" s="83">
        <f ca="1">IF($A26&lt;&gt;"",IF($E$5="pAu",VLOOKUP(A26,pAg!$A$2:$C$47,3),VLOOKUP(A26,pAg!$O$3:$P1216,2)),"")</f>
        <v>0.97973808485909075</v>
      </c>
      <c r="C26" s="83">
        <f ca="1">VLOOKUP(A26,pAg!$A$7:$C$47,3)</f>
        <v>0.99</v>
      </c>
      <c r="D26" s="87">
        <f ca="1">IF($A26&lt;&gt;"",1-VLOOKUP($N26,'AR sim'!$E$10:$F$38,2)*'H158'!$E$10/'AR sim'!$D$42,"")</f>
        <v>0.9973482142857143</v>
      </c>
      <c r="E26" s="88">
        <f ca="1">VLOOKUP($A26,'cycle4 AFTA filters 2'!$A$34:$G$181,'H158'!$I$2)</f>
        <v>0.95</v>
      </c>
      <c r="F26" s="87">
        <f>IF($L$10=1, IF($K$10="R",VLOOKUP($A26,dichroic!$F$5:$H$1232,3),VLOOKUP($A26,dichroic!$F$5:$H$1232,2)),1)</f>
        <v>1</v>
      </c>
      <c r="G26" s="83">
        <f t="shared" ca="1" si="5"/>
        <v>0.85757785478048087</v>
      </c>
      <c r="H26" s="83">
        <f t="shared" ca="1" si="6"/>
        <v>0.93137711960342007</v>
      </c>
      <c r="I26" s="83">
        <f t="shared" ca="1" si="0"/>
        <v>0.95</v>
      </c>
      <c r="J26" s="89">
        <f t="shared" ca="1" si="1"/>
        <v>0.98</v>
      </c>
      <c r="K26" s="46">
        <f ca="1">VLOOKUP($A26,'SWIR data'!$A$5:$K$795,11)/100</f>
        <v>0.87156993870107446</v>
      </c>
      <c r="L26" s="90">
        <f t="shared" ca="1" si="2"/>
        <v>2.5950585582144843</v>
      </c>
      <c r="N26" s="6">
        <f t="shared" ca="1" si="3"/>
        <v>0.31707317073170749</v>
      </c>
    </row>
    <row r="27" spans="1:14" ht="15">
      <c r="A27" s="79">
        <f t="shared" ca="1" si="4"/>
        <v>1.5144029357257207</v>
      </c>
      <c r="B27" s="83">
        <f ca="1">IF($A27&lt;&gt;"",IF($E$5="pAu",VLOOKUP(A27,pAg!$A$2:$C$47,3),VLOOKUP(A27,pAg!$O$3:$P1217,2)),"")</f>
        <v>0.97983245880000014</v>
      </c>
      <c r="C27" s="83">
        <f ca="1">VLOOKUP(A27,pAg!$A$7:$C$47,3)</f>
        <v>0.99</v>
      </c>
      <c r="D27" s="87">
        <f ca="1">IF($A27&lt;&gt;"",1-VLOOKUP($N27,'AR sim'!$E$10:$F$38,2)*'H158'!$E$10/'AR sim'!$D$42,"")</f>
        <v>0.99690624999999999</v>
      </c>
      <c r="E27" s="88">
        <f ca="1">VLOOKUP($A27,'cycle4 AFTA filters 2'!$A$34:$G$181,'H158'!$I$2)</f>
        <v>0.95</v>
      </c>
      <c r="F27" s="87">
        <f>IF($L$10=1, IF($K$10="R",VLOOKUP($A27,dichroic!$F$5:$H$1232,3),VLOOKUP($A27,dichroic!$F$5:$H$1232,2)),1)</f>
        <v>1</v>
      </c>
      <c r="G27" s="83">
        <f t="shared" ca="1" si="5"/>
        <v>0.85799096822579179</v>
      </c>
      <c r="H27" s="83">
        <f t="shared" ca="1" si="6"/>
        <v>0.9315565593210603</v>
      </c>
      <c r="I27" s="83">
        <f t="shared" ca="1" si="0"/>
        <v>0.95</v>
      </c>
      <c r="J27" s="89">
        <f t="shared" ca="1" si="1"/>
        <v>0.98</v>
      </c>
      <c r="K27" s="46">
        <f ca="1">VLOOKUP($A27,'SWIR data'!$A$5:$K$795,11)/100</f>
        <v>0.87339229795820827</v>
      </c>
      <c r="L27" s="90">
        <f t="shared" ca="1" si="2"/>
        <v>2.6017372558865763</v>
      </c>
      <c r="N27" s="6">
        <f t="shared" ca="1" si="3"/>
        <v>0.34146341463414653</v>
      </c>
    </row>
    <row r="28" spans="1:14" ht="15">
      <c r="A28" s="79">
        <f t="shared" ca="1" si="4"/>
        <v>1.5240181924604872</v>
      </c>
      <c r="B28" s="83">
        <f ca="1">IF($A28&lt;&gt;"",IF($E$5="pAu",VLOOKUP(A28,pAg!$A$2:$C$47,3),VLOOKUP(A28,pAg!$O$3:$P1218,2)),"")</f>
        <v>0.97996019509090915</v>
      </c>
      <c r="C28" s="83">
        <f ca="1">VLOOKUP(A28,pAg!$A$7:$C$47,3)</f>
        <v>0.99</v>
      </c>
      <c r="D28" s="87">
        <f ca="1">IF($A28&lt;&gt;"",1-VLOOKUP($N28,'AR sim'!$E$10:$F$38,2)*'H158'!$E$10/'AR sim'!$D$42,"")</f>
        <v>0.99646428571428569</v>
      </c>
      <c r="E28" s="88">
        <f ca="1">VLOOKUP($A28,'cycle4 AFTA filters 2'!$A$34:$G$181,'H158'!$I$2)</f>
        <v>0.95</v>
      </c>
      <c r="F28" s="87">
        <f>IF($L$10=1, IF($K$10="R",VLOOKUP($A28,dichroic!$F$5:$H$1232,3),VLOOKUP($A28,dichroic!$F$5:$H$1232,2)),1)</f>
        <v>1</v>
      </c>
      <c r="G28" s="83">
        <f t="shared" ca="1" si="5"/>
        <v>0.85855037591773731</v>
      </c>
      <c r="H28" s="83">
        <f t="shared" ca="1" si="6"/>
        <v>0.93179946071693909</v>
      </c>
      <c r="I28" s="83">
        <f t="shared" ca="1" si="0"/>
        <v>0.95</v>
      </c>
      <c r="J28" s="89">
        <f t="shared" ca="1" si="1"/>
        <v>0.98</v>
      </c>
      <c r="K28" s="46">
        <f ca="1">VLOOKUP($A28,'SWIR data'!$A$5:$K$795,11)/100</f>
        <v>0.87517225662164622</v>
      </c>
      <c r="L28" s="90">
        <f t="shared" ca="1" si="2"/>
        <v>2.6087393346447643</v>
      </c>
      <c r="N28" s="6">
        <f t="shared" ca="1" si="3"/>
        <v>0.36585365853658558</v>
      </c>
    </row>
    <row r="29" spans="1:14" ht="15">
      <c r="A29" s="79">
        <f t="shared" ca="1" si="4"/>
        <v>1.5336334491952537</v>
      </c>
      <c r="B29" s="83">
        <f ca="1">IF($A29&lt;&gt;"",IF($E$5="pAu",VLOOKUP(A29,pAg!$A$2:$C$47,3),VLOOKUP(A29,pAg!$O$3:$P1219,2)),"")</f>
        <v>0.98007748388181792</v>
      </c>
      <c r="C29" s="83">
        <f ca="1">VLOOKUP(A29,pAg!$A$7:$C$47,3)</f>
        <v>0.99</v>
      </c>
      <c r="D29" s="87">
        <f ca="1">IF($A29&lt;&gt;"",1-VLOOKUP($N29,'AR sim'!$E$10:$F$38,2)*'H158'!$E$10/'AR sim'!$D$42,"")</f>
        <v>0.99646428571428569</v>
      </c>
      <c r="E29" s="88">
        <f ca="1">VLOOKUP($A29,'cycle4 AFTA filters 2'!$A$34:$G$181,'H158'!$I$2)</f>
        <v>0.95</v>
      </c>
      <c r="F29" s="87">
        <f>IF($L$10=1, IF($K$10="R",VLOOKUP($A29,dichroic!$F$5:$H$1232,3),VLOOKUP($A29,dichroic!$F$5:$H$1232,2)),1)</f>
        <v>1</v>
      </c>
      <c r="G29" s="83">
        <f t="shared" ca="1" si="5"/>
        <v>0.85906428680687053</v>
      </c>
      <c r="H29" s="83">
        <f t="shared" ca="1" si="6"/>
        <v>0.93202252319020074</v>
      </c>
      <c r="I29" s="83">
        <f t="shared" ca="1" si="0"/>
        <v>0.95</v>
      </c>
      <c r="J29" s="89">
        <f t="shared" ca="1" si="1"/>
        <v>0.98</v>
      </c>
      <c r="K29" s="46">
        <f ca="1">VLOOKUP($A29,'SWIR data'!$A$5:$K$795,11)/100</f>
        <v>0.87689178737560713</v>
      </c>
      <c r="L29" s="90">
        <f t="shared" ca="1" si="2"/>
        <v>2.6154295694455367</v>
      </c>
      <c r="N29" s="6">
        <f t="shared" ca="1" si="3"/>
        <v>0.39024390243902463</v>
      </c>
    </row>
    <row r="30" spans="1:14" ht="15">
      <c r="A30" s="79">
        <f t="shared" ca="1" si="4"/>
        <v>1.5432487059300202</v>
      </c>
      <c r="B30" s="83">
        <f ca="1">IF($A30&lt;&gt;"",IF($E$5="pAu",VLOOKUP(A30,pAg!$A$2:$C$47,3),VLOOKUP(A30,pAg!$O$3:$P1220,2)),"")</f>
        <v>0.98019519328636362</v>
      </c>
      <c r="C30" s="83">
        <f ca="1">VLOOKUP(A30,pAg!$A$7:$C$47,3)</f>
        <v>0.99</v>
      </c>
      <c r="D30" s="87">
        <f ca="1">IF($A30&lt;&gt;"",1-VLOOKUP($N30,'AR sim'!$E$10:$F$38,2)*'H158'!$E$10/'AR sim'!$D$42,"")</f>
        <v>0.99602232142857139</v>
      </c>
      <c r="E30" s="88">
        <f ca="1">VLOOKUP($A30,'cycle4 AFTA filters 2'!$A$34:$G$181,'H158'!$I$2)</f>
        <v>0.95</v>
      </c>
      <c r="F30" s="87">
        <f>IF($L$10=1, IF($K$10="R",VLOOKUP($A30,dichroic!$F$5:$H$1232,3),VLOOKUP($A30,dichroic!$F$5:$H$1232,2)),1)</f>
        <v>1</v>
      </c>
      <c r="G30" s="83">
        <f t="shared" ca="1" si="5"/>
        <v>0.85958028803989206</v>
      </c>
      <c r="H30" s="83">
        <f t="shared" ca="1" si="6"/>
        <v>0.93224641243590645</v>
      </c>
      <c r="I30" s="83">
        <f t="shared" ca="1" si="0"/>
        <v>0.95</v>
      </c>
      <c r="J30" s="89">
        <f t="shared" ca="1" si="1"/>
        <v>0.98</v>
      </c>
      <c r="K30" s="46">
        <f ca="1">VLOOKUP($A30,'SWIR data'!$A$5:$K$795,11)/100</f>
        <v>0.87856838197536125</v>
      </c>
      <c r="L30" s="90">
        <f t="shared" ca="1" si="2"/>
        <v>2.6220041781045049</v>
      </c>
      <c r="N30" s="6">
        <f t="shared" ca="1" si="3"/>
        <v>0.41463414634146367</v>
      </c>
    </row>
    <row r="31" spans="1:14" ht="15">
      <c r="A31" s="79">
        <f t="shared" ca="1" si="4"/>
        <v>1.5528639626647867</v>
      </c>
      <c r="B31" s="83">
        <f ca="1">IF($A31&lt;&gt;"",IF($E$5="pAu",VLOOKUP(A31,pAg!$A$2:$C$47,3),VLOOKUP(A31,pAg!$O$3:$P1221,2)),"")</f>
        <v>0.9803117132136363</v>
      </c>
      <c r="C31" s="83">
        <f ca="1">VLOOKUP(A31,pAg!$A$7:$C$47,3)</f>
        <v>0.99</v>
      </c>
      <c r="D31" s="87">
        <f ca="1">IF($A31&lt;&gt;"",1-VLOOKUP($N31,'AR sim'!$E$10:$F$38,2)*'H158'!$E$10/'AR sim'!$D$42,"")</f>
        <v>0.9955803571428572</v>
      </c>
      <c r="E31" s="88">
        <f ca="1">VLOOKUP($A31,'cycle4 AFTA filters 2'!$A$34:$G$181,'H158'!$I$2)</f>
        <v>0.95</v>
      </c>
      <c r="F31" s="87">
        <f>IF($L$10=1, IF($K$10="R",VLOOKUP($A31,dichroic!$F$5:$H$1232,3),VLOOKUP($A31,dichroic!$F$5:$H$1232,2)),1)</f>
        <v>1</v>
      </c>
      <c r="G31" s="83">
        <f t="shared" ca="1" si="5"/>
        <v>0.86009131915198922</v>
      </c>
      <c r="H31" s="83">
        <f t="shared" ca="1" si="6"/>
        <v>0.93246806571740315</v>
      </c>
      <c r="I31" s="83">
        <f t="shared" ca="1" si="0"/>
        <v>0.95</v>
      </c>
      <c r="J31" s="89">
        <f t="shared" ca="1" si="1"/>
        <v>0.98</v>
      </c>
      <c r="K31" s="46">
        <f ca="1">VLOOKUP($A31,'SWIR data'!$A$5:$K$795,11)/100</f>
        <v>0.88019318783828637</v>
      </c>
      <c r="L31" s="90">
        <f t="shared" ca="1" si="2"/>
        <v>2.6284149541610677</v>
      </c>
      <c r="N31" s="6">
        <f t="shared" ca="1" si="3"/>
        <v>0.43902439024390266</v>
      </c>
    </row>
    <row r="32" spans="1:14" ht="15">
      <c r="A32" s="79">
        <f t="shared" ca="1" si="4"/>
        <v>1.5624792193995531</v>
      </c>
      <c r="B32" s="83">
        <f ca="1">IF($A32&lt;&gt;"",IF($E$5="pAu",VLOOKUP(A32,pAg!$A$2:$C$47,3),VLOOKUP(A32,pAg!$O$3:$P1222,2)),"")</f>
        <v>0.98042932492727264</v>
      </c>
      <c r="C32" s="83">
        <f ca="1">VLOOKUP(A32,pAg!$A$7:$C$47,3)</f>
        <v>0.99</v>
      </c>
      <c r="D32" s="87">
        <f ca="1">IF($A32&lt;&gt;"",1-VLOOKUP($N32,'AR sim'!$E$10:$F$38,2)*'H158'!$E$10/'AR sim'!$D$42,"")</f>
        <v>0.9955803571428572</v>
      </c>
      <c r="E32" s="88">
        <f ca="1">VLOOKUP($A32,'cycle4 AFTA filters 2'!$A$34:$G$181,'H158'!$I$2)</f>
        <v>0.95</v>
      </c>
      <c r="F32" s="87">
        <f>IF($L$10=1, IF($K$10="R",VLOOKUP($A32,dichroic!$F$5:$H$1232,3),VLOOKUP($A32,dichroic!$F$5:$H$1232,2)),1)</f>
        <v>1</v>
      </c>
      <c r="G32" s="83">
        <f t="shared" ca="1" si="5"/>
        <v>0.86060738505128787</v>
      </c>
      <c r="H32" s="83">
        <f t="shared" ca="1" si="6"/>
        <v>0.93269182259871908</v>
      </c>
      <c r="I32" s="83">
        <f t="shared" ca="1" si="0"/>
        <v>0.95</v>
      </c>
      <c r="J32" s="89">
        <f t="shared" ca="1" si="1"/>
        <v>0.98</v>
      </c>
      <c r="K32" s="46">
        <f ca="1">VLOOKUP($A32,'SWIR data'!$A$5:$K$795,11)/100</f>
        <v>0.88176592730395964</v>
      </c>
      <c r="L32" s="90">
        <f t="shared" ca="1" si="2"/>
        <v>2.63469133755987</v>
      </c>
      <c r="N32" s="6">
        <f t="shared" ca="1" si="3"/>
        <v>0.46341463414634171</v>
      </c>
    </row>
    <row r="33" spans="1:14" ht="15">
      <c r="A33" s="79">
        <f t="shared" ca="1" si="4"/>
        <v>1.5720944761343196</v>
      </c>
      <c r="B33" s="83">
        <f ca="1">IF($A33&lt;&gt;"",IF($E$5="pAu",VLOOKUP(A33,pAg!$A$2:$C$47,3),VLOOKUP(A33,pAg!$O$3:$P1223,2)),"")</f>
        <v>0.98048794490000024</v>
      </c>
      <c r="C33" s="83">
        <f ca="1">VLOOKUP(A33,pAg!$A$7:$C$47,3)</f>
        <v>0.99</v>
      </c>
      <c r="D33" s="87">
        <f ca="1">IF($A33&lt;&gt;"",1-VLOOKUP($N33,'AR sim'!$E$10:$F$38,2)*'H158'!$E$10/'AR sim'!$D$42,"")</f>
        <v>0.99513839285714289</v>
      </c>
      <c r="E33" s="88">
        <f ca="1">VLOOKUP($A33,'cycle4 AFTA filters 2'!$A$34:$G$181,'H158'!$I$2)</f>
        <v>0.95</v>
      </c>
      <c r="F33" s="87">
        <f>IF($L$10=1, IF($K$10="R",VLOOKUP($A33,dichroic!$F$5:$H$1232,3),VLOOKUP($A33,dichroic!$F$5:$H$1232,2)),1)</f>
        <v>1</v>
      </c>
      <c r="G33" s="83">
        <f t="shared" ca="1" si="5"/>
        <v>0.86086469485014172</v>
      </c>
      <c r="H33" s="83">
        <f t="shared" ca="1" si="6"/>
        <v>0.93280335741781717</v>
      </c>
      <c r="I33" s="83">
        <f t="shared" ca="1" si="0"/>
        <v>0.95</v>
      </c>
      <c r="J33" s="89">
        <f t="shared" ca="1" si="1"/>
        <v>0.98</v>
      </c>
      <c r="K33" s="46">
        <f ca="1">VLOOKUP($A33,'SWIR data'!$A$5:$K$795,11)/100</f>
        <v>0.8832952511774812</v>
      </c>
      <c r="L33" s="90">
        <f t="shared" ca="1" si="2"/>
        <v>2.6400500162922031</v>
      </c>
      <c r="N33" s="6">
        <f t="shared" ca="1" si="3"/>
        <v>0.48780487804878075</v>
      </c>
    </row>
    <row r="34" spans="1:14" ht="15">
      <c r="A34" s="79">
        <f t="shared" ca="1" si="4"/>
        <v>1.5817097328690861</v>
      </c>
      <c r="B34" s="83">
        <f ca="1">IF($A34&lt;&gt;"",IF($E$5="pAu",VLOOKUP(A34,pAg!$A$2:$C$47,3),VLOOKUP(A34,pAg!$O$3:$P1224,2)),"")</f>
        <v>0.98052656718181808</v>
      </c>
      <c r="C34" s="83">
        <f ca="1">VLOOKUP(A34,pAg!$A$7:$C$47,3)</f>
        <v>0.99</v>
      </c>
      <c r="D34" s="87">
        <f ca="1">IF($A34&lt;&gt;"",1-VLOOKUP($N34,'AR sim'!$E$10:$F$38,2)*'H158'!$E$10/'AR sim'!$D$42,"")</f>
        <v>0.99469642857142859</v>
      </c>
      <c r="E34" s="88">
        <f ca="1">VLOOKUP($A34,'cycle4 AFTA filters 2'!$A$34:$G$181,'H158'!$I$2)</f>
        <v>0.95</v>
      </c>
      <c r="F34" s="87">
        <f>IF($L$10=1, IF($K$10="R",VLOOKUP($A34,dichroic!$F$5:$H$1232,3),VLOOKUP($A34,dichroic!$F$5:$H$1232,2)),1)</f>
        <v>1</v>
      </c>
      <c r="G34" s="83">
        <f t="shared" ca="1" si="5"/>
        <v>0.86103425929255817</v>
      </c>
      <c r="H34" s="83">
        <f t="shared" ca="1" si="6"/>
        <v>0.93287684675321536</v>
      </c>
      <c r="I34" s="83">
        <f t="shared" ca="1" si="0"/>
        <v>0.95</v>
      </c>
      <c r="J34" s="89">
        <f t="shared" ca="1" si="1"/>
        <v>0.98</v>
      </c>
      <c r="K34" s="46">
        <f ca="1">VLOOKUP($A34,'SWIR data'!$A$5:$K$795,11)/100</f>
        <v>0.8847812165147334</v>
      </c>
      <c r="L34" s="90">
        <f t="shared" ca="1" si="2"/>
        <v>2.6450122508976177</v>
      </c>
      <c r="N34" s="6">
        <f t="shared" ca="1" si="3"/>
        <v>0.51219512195121986</v>
      </c>
    </row>
    <row r="35" spans="1:14" ht="15">
      <c r="A35" s="79">
        <f t="shared" ca="1" si="4"/>
        <v>1.5913249896038526</v>
      </c>
      <c r="B35" s="83">
        <f ca="1">IF($A35&lt;&gt;"",IF($E$5="pAu",VLOOKUP(A35,pAg!$A$2:$C$47,3),VLOOKUP(A35,pAg!$O$3:$P1225,2)),"")</f>
        <v>0.98062808070000007</v>
      </c>
      <c r="C35" s="83">
        <f ca="1">VLOOKUP(A35,pAg!$A$7:$C$47,3)</f>
        <v>0.99</v>
      </c>
      <c r="D35" s="87">
        <f ca="1">IF($A35&lt;&gt;"",1-VLOOKUP($N35,'AR sim'!$E$10:$F$38,2)*'H158'!$E$10/'AR sim'!$D$42,"")</f>
        <v>0.99513839285714289</v>
      </c>
      <c r="E35" s="88">
        <f ca="1">VLOOKUP($A35,'cycle4 AFTA filters 2'!$A$34:$G$181,'H158'!$I$2)</f>
        <v>0.95</v>
      </c>
      <c r="F35" s="87">
        <f>IF($L$10=1, IF($K$10="R",VLOOKUP($A35,dichroic!$F$5:$H$1232,3),VLOOKUP($A35,dichroic!$F$5:$H$1232,2)),1)</f>
        <v>1</v>
      </c>
      <c r="G35" s="83">
        <f t="shared" ca="1" si="5"/>
        <v>0.86148006423083934</v>
      </c>
      <c r="H35" s="83">
        <f t="shared" ca="1" si="6"/>
        <v>0.93307001747600937</v>
      </c>
      <c r="I35" s="83">
        <f t="shared" ca="1" si="0"/>
        <v>0.95</v>
      </c>
      <c r="J35" s="89">
        <f t="shared" ca="1" si="1"/>
        <v>0.98</v>
      </c>
      <c r="K35" s="46">
        <f ca="1">VLOOKUP($A35,'SWIR data'!$A$5:$K$795,11)/100</f>
        <v>0.88621462644875737</v>
      </c>
      <c r="L35" s="90">
        <f t="shared" ca="1" si="2"/>
        <v>2.6506690505585895</v>
      </c>
      <c r="N35" s="6">
        <f t="shared" ca="1" si="3"/>
        <v>0.53658536585365879</v>
      </c>
    </row>
    <row r="36" spans="1:14" ht="15">
      <c r="A36" s="79">
        <f t="shared" ca="1" si="4"/>
        <v>1.6009402463386191</v>
      </c>
      <c r="B36" s="83">
        <f ca="1">IF($A36&lt;&gt;"",IF($E$5="pAu",VLOOKUP(A36,pAg!$A$2:$C$47,3),VLOOKUP(A36,pAg!$O$3:$P1226,2)),"")</f>
        <v>0.98080973061363641</v>
      </c>
      <c r="C36" s="83">
        <f ca="1">VLOOKUP(A36,pAg!$A$7:$C$47,3)</f>
        <v>0.99</v>
      </c>
      <c r="D36" s="87">
        <f ca="1">IF($A36&lt;&gt;"",1-VLOOKUP($N36,'AR sim'!$E$10:$F$38,2)*'H158'!$E$10/'AR sim'!$D$42,"")</f>
        <v>0.99513839285714289</v>
      </c>
      <c r="E36" s="88">
        <f ca="1">VLOOKUP($A36,'cycle4 AFTA filters 2'!$A$34:$G$181,'H158'!$I$2)</f>
        <v>0.95</v>
      </c>
      <c r="F36" s="87">
        <f>IF($L$10=1, IF($K$10="R",VLOOKUP($A36,dichroic!$F$5:$H$1232,3),VLOOKUP($A36,dichroic!$F$5:$H$1232,2)),1)</f>
        <v>1</v>
      </c>
      <c r="G36" s="83">
        <f t="shared" ca="1" si="5"/>
        <v>0.86227825555413395</v>
      </c>
      <c r="H36" s="83">
        <f t="shared" ca="1" si="6"/>
        <v>0.93341573016697443</v>
      </c>
      <c r="I36" s="83">
        <f t="shared" ca="1" si="0"/>
        <v>0.95</v>
      </c>
      <c r="J36" s="89">
        <f t="shared" ca="1" si="1"/>
        <v>0.98</v>
      </c>
      <c r="K36" s="46">
        <f ca="1">VLOOKUP($A36,'SWIR data'!$A$5:$K$795,11)/100</f>
        <v>0.88760416096261863</v>
      </c>
      <c r="L36" s="90">
        <f t="shared" ca="1" si="2"/>
        <v>2.6572849381062507</v>
      </c>
      <c r="N36" s="6">
        <f t="shared" ca="1" si="3"/>
        <v>0.56097560975609784</v>
      </c>
    </row>
    <row r="37" spans="1:14" ht="15">
      <c r="A37" s="79">
        <f t="shared" ca="1" si="4"/>
        <v>1.6105555030733856</v>
      </c>
      <c r="B37" s="83">
        <f ca="1">IF($A37&lt;&gt;"",IF($E$5="pAu",VLOOKUP(A37,pAg!$A$2:$C$47,3),VLOOKUP(A37,pAg!$O$3:$P1227,2)),"")</f>
        <v>0.98089267290909077</v>
      </c>
      <c r="C37" s="83">
        <f ca="1">VLOOKUP(A37,pAg!$A$7:$C$47,3)</f>
        <v>0.99</v>
      </c>
      <c r="D37" s="87">
        <f ca="1">IF($A37&lt;&gt;"",1-VLOOKUP($N37,'AR sim'!$E$10:$F$38,2)*'H158'!$E$10/'AR sim'!$D$42,"")</f>
        <v>0.9955803571428572</v>
      </c>
      <c r="E37" s="88">
        <f ca="1">VLOOKUP($A37,'cycle4 AFTA filters 2'!$A$34:$G$181,'H158'!$I$2)</f>
        <v>0.95</v>
      </c>
      <c r="F37" s="87">
        <f>IF($L$10=1, IF($K$10="R",VLOOKUP($A37,dichroic!$F$5:$H$1232,3),VLOOKUP($A37,dichroic!$F$5:$H$1232,2)),1)</f>
        <v>1</v>
      </c>
      <c r="G37" s="83">
        <f t="shared" ca="1" si="5"/>
        <v>0.86264291055657483</v>
      </c>
      <c r="H37" s="83">
        <f t="shared" ca="1" si="6"/>
        <v>0.93357360567403247</v>
      </c>
      <c r="I37" s="83">
        <f t="shared" ca="1" si="0"/>
        <v>0.95</v>
      </c>
      <c r="J37" s="89">
        <f t="shared" ca="1" si="1"/>
        <v>0.98</v>
      </c>
      <c r="K37" s="46">
        <f ca="1">VLOOKUP($A37,'SWIR data'!$A$5:$K$795,11)/100</f>
        <v>0.88894987745214937</v>
      </c>
      <c r="L37" s="90">
        <f t="shared" ca="1" si="2"/>
        <v>2.6624391690785112</v>
      </c>
      <c r="N37" s="6">
        <f t="shared" ca="1" si="3"/>
        <v>0.58536585365853688</v>
      </c>
    </row>
    <row r="38" spans="1:14" ht="15">
      <c r="A38" s="79">
        <f t="shared" ca="1" si="4"/>
        <v>1.6201707598081521</v>
      </c>
      <c r="B38" s="83">
        <f ca="1">IF($A38&lt;&gt;"",IF($E$5="pAu",VLOOKUP(A38,pAg!$A$2:$C$47,3),VLOOKUP(A38,pAg!$O$3:$P1228,2)),"")</f>
        <v>0.98094213074090897</v>
      </c>
      <c r="C38" s="83">
        <f ca="1">VLOOKUP(A38,pAg!$A$7:$C$47,3)</f>
        <v>0.99</v>
      </c>
      <c r="D38" s="87">
        <f ca="1">IF($A38&lt;&gt;"",1-VLOOKUP($N38,'AR sim'!$E$10:$F$38,2)*'H158'!$E$10/'AR sim'!$D$42,"")</f>
        <v>0.99602232142857139</v>
      </c>
      <c r="E38" s="88">
        <f ca="1">VLOOKUP($A38,'cycle4 AFTA filters 2'!$A$34:$G$181,'H158'!$I$2)</f>
        <v>0.95</v>
      </c>
      <c r="F38" s="87">
        <f>IF($L$10=1, IF($K$10="R",VLOOKUP($A38,dichroic!$F$5:$H$1232,3),VLOOKUP($A38,dichroic!$F$5:$H$1232,2)),1)</f>
        <v>1</v>
      </c>
      <c r="G38" s="83">
        <f t="shared" ca="1" si="5"/>
        <v>0.86286041014533832</v>
      </c>
      <c r="H38" s="83">
        <f t="shared" ca="1" si="6"/>
        <v>0.93366775193833396</v>
      </c>
      <c r="I38" s="83">
        <f t="shared" ca="1" si="0"/>
        <v>0.95</v>
      </c>
      <c r="J38" s="89">
        <f t="shared" ca="1" si="1"/>
        <v>0.98</v>
      </c>
      <c r="K38" s="46">
        <f ca="1">VLOOKUP($A38,'SWIR data'!$A$5:$K$795,11)/100</f>
        <v>0.89025152719074629</v>
      </c>
      <c r="L38" s="90">
        <f t="shared" ca="1" si="2"/>
        <v>2.6670099283888211</v>
      </c>
      <c r="N38" s="6">
        <f t="shared" ca="1" si="3"/>
        <v>0.60975609756097593</v>
      </c>
    </row>
    <row r="39" spans="1:14" ht="15">
      <c r="A39" s="79">
        <f t="shared" ca="1" si="4"/>
        <v>1.6297860165429185</v>
      </c>
      <c r="B39" s="83">
        <f ca="1">IF($A39&lt;&gt;"",IF($E$5="pAu",VLOOKUP(A39,pAg!$A$2:$C$47,3),VLOOKUP(A39,pAg!$O$3:$P1229,2)),"")</f>
        <v>0.98104700193181826</v>
      </c>
      <c r="C39" s="83">
        <f ca="1">VLOOKUP(A39,pAg!$A$7:$C$47,3)</f>
        <v>0.99</v>
      </c>
      <c r="D39" s="87">
        <f ca="1">IF($A39&lt;&gt;"",1-VLOOKUP($N39,'AR sim'!$E$10:$F$38,2)*'H158'!$E$10/'AR sim'!$D$42,"")</f>
        <v>0.99602232142857139</v>
      </c>
      <c r="E39" s="88">
        <f ca="1">VLOOKUP($A39,'cycle4 AFTA filters 2'!$A$34:$G$181,'H158'!$I$2)</f>
        <v>0.95</v>
      </c>
      <c r="F39" s="87">
        <f>IF($L$10=1, IF($K$10="R",VLOOKUP($A39,dichroic!$F$5:$H$1232,3),VLOOKUP($A39,dichroic!$F$5:$H$1232,2)),1)</f>
        <v>1</v>
      </c>
      <c r="G39" s="83">
        <f t="shared" ca="1" si="5"/>
        <v>0.8633217449488263</v>
      </c>
      <c r="H39" s="83">
        <f t="shared" ca="1" si="6"/>
        <v>0.93386739691220655</v>
      </c>
      <c r="I39" s="83">
        <f t="shared" ca="1" si="0"/>
        <v>0.95</v>
      </c>
      <c r="J39" s="89">
        <f t="shared" ca="1" si="1"/>
        <v>0.98</v>
      </c>
      <c r="K39" s="46">
        <f ca="1">VLOOKUP($A39,'SWIR data'!$A$5:$K$795,11)/100</f>
        <v>0.89192218606981499</v>
      </c>
      <c r="L39" s="90">
        <f t="shared" ca="1" si="2"/>
        <v>2.6734434905928426</v>
      </c>
      <c r="N39" s="6">
        <f t="shared" ca="1" si="3"/>
        <v>0.63414634146341498</v>
      </c>
    </row>
    <row r="40" spans="1:14" ht="15">
      <c r="A40" s="79">
        <f t="shared" ca="1" si="4"/>
        <v>1.639401273277685</v>
      </c>
      <c r="B40" s="83">
        <f ca="1">IF($A40&lt;&gt;"",IF($E$5="pAu",VLOOKUP(A40,pAg!$A$2:$C$47,3),VLOOKUP(A40,pAg!$O$3:$P1230,2)),"")</f>
        <v>0.98108786025000028</v>
      </c>
      <c r="C40" s="83">
        <f ca="1">VLOOKUP(A40,pAg!$A$7:$C$47,3)</f>
        <v>0.99</v>
      </c>
      <c r="D40" s="87">
        <f ca="1">IF($A40&lt;&gt;"",1-VLOOKUP($N40,'AR sim'!$E$10:$F$38,2)*'H158'!$E$10/'AR sim'!$D$42,"")</f>
        <v>0.99646428571428569</v>
      </c>
      <c r="E40" s="88">
        <f ca="1">VLOOKUP($A40,'cycle4 AFTA filters 2'!$A$34:$G$181,'H158'!$I$2)</f>
        <v>0.95</v>
      </c>
      <c r="F40" s="87">
        <f>IF($L$10=1, IF($K$10="R",VLOOKUP($A40,dichroic!$F$5:$H$1232,3),VLOOKUP($A40,dichroic!$F$5:$H$1232,2)),1)</f>
        <v>1</v>
      </c>
      <c r="G40" s="83">
        <f t="shared" ca="1" si="5"/>
        <v>0.86350153660381612</v>
      </c>
      <c r="H40" s="83">
        <f t="shared" ca="1" si="6"/>
        <v>0.93394518532749571</v>
      </c>
      <c r="I40" s="83">
        <f t="shared" ca="1" si="0"/>
        <v>0.95</v>
      </c>
      <c r="J40" s="89">
        <f t="shared" ca="1" si="1"/>
        <v>0.98</v>
      </c>
      <c r="K40" s="46">
        <f ca="1">VLOOKUP($A40,'SWIR data'!$A$5:$K$795,11)/100</f>
        <v>0.89312644752352821</v>
      </c>
      <c r="L40" s="90">
        <f t="shared" ca="1" si="2"/>
        <v>2.6776106498943646</v>
      </c>
      <c r="N40" s="6">
        <f t="shared" ca="1" si="3"/>
        <v>0.65853658536585402</v>
      </c>
    </row>
    <row r="41" spans="1:14" ht="15">
      <c r="A41" s="79">
        <f t="shared" ca="1" si="4"/>
        <v>1.6490165300124515</v>
      </c>
      <c r="B41" s="83">
        <f ca="1">IF($A41&lt;&gt;"",IF($E$5="pAu",VLOOKUP(A41,pAg!$A$2:$C$47,3),VLOOKUP(A41,pAg!$O$3:$P1231,2)),"")</f>
        <v>0.98111804764545441</v>
      </c>
      <c r="C41" s="83">
        <f ca="1">VLOOKUP(A41,pAg!$A$7:$C$47,3)</f>
        <v>0.99</v>
      </c>
      <c r="D41" s="87">
        <f ca="1">IF($A41&lt;&gt;"",1-VLOOKUP($N41,'AR sim'!$E$10:$F$38,2)*'H158'!$E$10/'AR sim'!$D$42,"")</f>
        <v>0.99690624999999999</v>
      </c>
      <c r="E41" s="88">
        <f ca="1">VLOOKUP($A41,'cycle4 AFTA filters 2'!$A$34:$G$181,'H158'!$I$2)</f>
        <v>0.95</v>
      </c>
      <c r="F41" s="87">
        <f>IF($L$10=1, IF($K$10="R",VLOOKUP($A41,dichroic!$F$5:$H$1232,3),VLOOKUP($A41,dichroic!$F$5:$H$1232,2)),1)</f>
        <v>1</v>
      </c>
      <c r="G41" s="83">
        <f t="shared" ca="1" si="5"/>
        <v>0.86363439150695442</v>
      </c>
      <c r="H41" s="83">
        <f t="shared" ca="1" si="6"/>
        <v>0.93400265990756048</v>
      </c>
      <c r="I41" s="83">
        <f t="shared" ca="1" si="0"/>
        <v>0.95</v>
      </c>
      <c r="J41" s="89">
        <f t="shared" ca="1" si="1"/>
        <v>0.98</v>
      </c>
      <c r="K41" s="46">
        <f ca="1">VLOOKUP($A41,'SWIR data'!$A$5:$K$795,11)/100</f>
        <v>0.89429507427083554</v>
      </c>
      <c r="L41" s="90">
        <f t="shared" ca="1" si="2"/>
        <v>2.6815267214018523</v>
      </c>
      <c r="N41" s="6">
        <f t="shared" ca="1" si="3"/>
        <v>0.68292682926829307</v>
      </c>
    </row>
    <row r="42" spans="1:14" ht="15">
      <c r="A42" s="79">
        <f t="shared" ca="1" si="4"/>
        <v>1.658631786747218</v>
      </c>
      <c r="B42" s="83">
        <f ca="1">IF($A42&lt;&gt;"",IF($E$5="pAu",VLOOKUP(A42,pAg!$A$2:$C$47,3),VLOOKUP(A42,pAg!$O$3:$P1232,2)),"")</f>
        <v>0.9812215511636363</v>
      </c>
      <c r="C42" s="83">
        <f ca="1">VLOOKUP(A42,pAg!$A$7:$C$47,3)</f>
        <v>0.99</v>
      </c>
      <c r="D42" s="87">
        <f ca="1">IF($A42&lt;&gt;"",1-VLOOKUP($N42,'AR sim'!$E$10:$F$38,2)*'H158'!$E$10/'AR sim'!$D$42,"")</f>
        <v>0.99690624999999999</v>
      </c>
      <c r="E42" s="88">
        <f ca="1">VLOOKUP($A42,'cycle4 AFTA filters 2'!$A$34:$G$181,'H158'!$I$2)</f>
        <v>0.95</v>
      </c>
      <c r="F42" s="87">
        <f>IF($L$10=1, IF($K$10="R",VLOOKUP($A42,dichroic!$F$5:$H$1232,3),VLOOKUP($A42,dichroic!$F$5:$H$1232,2)),1)</f>
        <v>1</v>
      </c>
      <c r="G42" s="83">
        <f t="shared" ca="1" si="5"/>
        <v>0.86409003525166339</v>
      </c>
      <c r="H42" s="83">
        <f t="shared" ca="1" si="6"/>
        <v>0.93419973641794118</v>
      </c>
      <c r="I42" s="83">
        <f t="shared" ca="1" si="0"/>
        <v>0.95</v>
      </c>
      <c r="J42" s="89">
        <f t="shared" ca="1" si="1"/>
        <v>0.98</v>
      </c>
      <c r="K42" s="46">
        <f ca="1">VLOOKUP($A42,'SWIR data'!$A$5:$K$795,11)/100</f>
        <v>0.89541913338360446</v>
      </c>
      <c r="L42" s="90">
        <f t="shared" ca="1" si="2"/>
        <v>2.6863137126249814</v>
      </c>
      <c r="N42" s="6">
        <f t="shared" ca="1" si="3"/>
        <v>0.70731707317073211</v>
      </c>
    </row>
    <row r="43" spans="1:14" ht="15">
      <c r="A43" s="79">
        <f t="shared" ca="1" si="4"/>
        <v>1.6682470434819845</v>
      </c>
      <c r="B43" s="83">
        <f ca="1">IF($A43&lt;&gt;"",IF($E$5="pAu",VLOOKUP(A43,pAg!$A$2:$C$47,3),VLOOKUP(A43,pAg!$O$3:$P1233,2)),"")</f>
        <v>0.98133375098181796</v>
      </c>
      <c r="C43" s="83">
        <f ca="1">VLOOKUP(A43,pAg!$A$7:$C$47,3)</f>
        <v>0.99</v>
      </c>
      <c r="D43" s="87">
        <f ca="1">IF($A43&lt;&gt;"",1-VLOOKUP($N43,'AR sim'!$E$10:$F$38,2)*'H158'!$E$10/'AR sim'!$D$42,"")</f>
        <v>0.9973482142857143</v>
      </c>
      <c r="E43" s="88">
        <f ca="1">VLOOKUP($A43,'cycle4 AFTA filters 2'!$A$34:$G$181,'H158'!$I$2)</f>
        <v>0.95</v>
      </c>
      <c r="F43" s="87">
        <f>IF($L$10=1, IF($K$10="R",VLOOKUP($A43,dichroic!$F$5:$H$1232,3),VLOOKUP($A43,dichroic!$F$5:$H$1232,2)),1)</f>
        <v>1</v>
      </c>
      <c r="G43" s="83">
        <f t="shared" ca="1" si="5"/>
        <v>0.86458417910397301</v>
      </c>
      <c r="H43" s="83">
        <f t="shared" ca="1" si="6"/>
        <v>0.93441339465487727</v>
      </c>
      <c r="I43" s="83">
        <f t="shared" ca="1" si="0"/>
        <v>0.95</v>
      </c>
      <c r="J43" s="89">
        <f t="shared" ca="1" si="1"/>
        <v>0.98</v>
      </c>
      <c r="K43" s="46">
        <f ca="1">VLOOKUP($A43,'SWIR data'!$A$5:$K$795,11)/100</f>
        <v>0.89649837593538284</v>
      </c>
      <c r="L43" s="90">
        <f t="shared" ca="1" si="2"/>
        <v>2.691089571652534</v>
      </c>
      <c r="N43" s="6">
        <f t="shared" ca="1" si="3"/>
        <v>0.73170731707317116</v>
      </c>
    </row>
    <row r="44" spans="1:14" ht="15">
      <c r="A44" s="79">
        <f t="shared" ca="1" si="4"/>
        <v>1.677862300216751</v>
      </c>
      <c r="B44" s="83">
        <f ca="1">IF($A44&lt;&gt;"",IF($E$5="pAu",VLOOKUP(A44,pAg!$A$2:$C$47,3),VLOOKUP(A44,pAg!$O$3:$P1234,2)),"")</f>
        <v>0.98141638573181822</v>
      </c>
      <c r="C44" s="83">
        <f ca="1">VLOOKUP(A44,pAg!$A$7:$C$47,3)</f>
        <v>0.99</v>
      </c>
      <c r="D44" s="87">
        <f ca="1">IF($A44&lt;&gt;"",1-VLOOKUP($N44,'AR sim'!$E$10:$F$38,2)*'H158'!$E$10/'AR sim'!$D$42,"")</f>
        <v>0.99712723214285715</v>
      </c>
      <c r="E44" s="88">
        <f ca="1">VLOOKUP($A44,'cycle4 AFTA filters 2'!$A$34:$G$181,'H158'!$I$2)</f>
        <v>0.95</v>
      </c>
      <c r="F44" s="87">
        <f>IF($L$10=1, IF($K$10="R",VLOOKUP($A44,dichroic!$F$5:$H$1232,3),VLOOKUP($A44,dichroic!$F$5:$H$1232,2)),1)</f>
        <v>1</v>
      </c>
      <c r="G44" s="83">
        <f t="shared" ca="1" si="5"/>
        <v>0.86494825875914694</v>
      </c>
      <c r="H44" s="83">
        <f t="shared" ca="1" si="6"/>
        <v>0.93457076877595047</v>
      </c>
      <c r="I44" s="83">
        <f t="shared" ca="1" si="0"/>
        <v>0.95</v>
      </c>
      <c r="J44" s="89">
        <f t="shared" ca="1" si="1"/>
        <v>0.98</v>
      </c>
      <c r="K44" s="46">
        <f ca="1">VLOOKUP($A44,'SWIR data'!$A$5:$K$795,11)/100</f>
        <v>0.89755063213409925</v>
      </c>
      <c r="L44" s="90">
        <f t="shared" ca="1" si="2"/>
        <v>2.6953827697841826</v>
      </c>
      <c r="N44" s="6">
        <f t="shared" ca="1" si="3"/>
        <v>0.75609756097561021</v>
      </c>
    </row>
    <row r="45" spans="1:14" ht="15">
      <c r="A45" s="79">
        <f t="shared" ca="1" si="4"/>
        <v>1.6874775569515175</v>
      </c>
      <c r="B45" s="83">
        <f ca="1">IF($A45&lt;&gt;"",IF($E$5="pAu",VLOOKUP(A45,pAg!$A$2:$C$47,3),VLOOKUP(A45,pAg!$O$3:$P1213,2)),"")</f>
        <v>0.98147233186818184</v>
      </c>
      <c r="C45" s="83">
        <f ca="1">VLOOKUP(A45,pAg!$A$7:$C$47,3)</f>
        <v>0.99</v>
      </c>
      <c r="D45" s="87">
        <f ca="1">IF($A45&lt;&gt;"",1-VLOOKUP($N45,'AR sim'!$E$10:$F$38,2)*'H158'!$E$10/'AR sim'!$D$42,"")</f>
        <v>0.99712723214285715</v>
      </c>
      <c r="E45" s="88">
        <f ca="1">VLOOKUP($A45,'cycle4 AFTA filters 2'!$A$34:$G$181,'H158'!$I$2)</f>
        <v>0.95</v>
      </c>
      <c r="F45" s="87">
        <f>IF($L$10=1, IF($K$10="R",VLOOKUP($A45,dichroic!$F$5:$H$1232,3),VLOOKUP($A45,dichroic!$F$5:$H$1232,2)),1)</f>
        <v>1</v>
      </c>
      <c r="G45" s="83">
        <f t="shared" ca="1" si="5"/>
        <v>0.86519482092838207</v>
      </c>
      <c r="H45" s="83">
        <f t="shared" ca="1" si="6"/>
        <v>0.93467732316961205</v>
      </c>
      <c r="I45" s="83">
        <f t="shared" ca="1" si="0"/>
        <v>0.95</v>
      </c>
      <c r="J45" s="89">
        <f t="shared" ca="1" si="1"/>
        <v>0.98</v>
      </c>
      <c r="K45" s="46">
        <f ca="1">VLOOKUP($A45,'SWIR data'!$A$5:$K$795,11)/100</f>
        <v>0.89855791976599619</v>
      </c>
      <c r="L45" s="90">
        <f t="shared" ca="1" si="2"/>
        <v>2.6991769055935562</v>
      </c>
      <c r="N45" s="6">
        <f t="shared" ca="1" si="3"/>
        <v>0.78048780487804925</v>
      </c>
    </row>
    <row r="46" spans="1:14" ht="15">
      <c r="A46" s="79">
        <f t="shared" ca="1" si="4"/>
        <v>1.697092813686284</v>
      </c>
      <c r="B46" s="83">
        <f ca="1">IF($A46&lt;&gt;"",IF($E$5="pAu",VLOOKUP(A46,pAg!$A$2:$C$47,3),VLOOKUP(A46,pAg!$O$3:$P1214,2)),"")</f>
        <v>0.98154382804545448</v>
      </c>
      <c r="C46" s="83">
        <f ca="1">VLOOKUP(A46,pAg!$A$7:$C$47,3)</f>
        <v>0.99</v>
      </c>
      <c r="D46" s="87">
        <f ca="1">IF($A46&lt;&gt;"",1-VLOOKUP($N46,'AR sim'!$E$10:$F$38,2)*'H158'!$E$10/'AR sim'!$D$42,"")</f>
        <v>0.99690624999999999</v>
      </c>
      <c r="E46" s="88">
        <f ca="1">VLOOKUP($A46,'cycle4 AFTA filters 2'!$A$34:$G$181,'H158'!$I$2)</f>
        <v>0.95</v>
      </c>
      <c r="F46" s="87">
        <f>IF($L$10=1, IF($K$10="R",VLOOKUP($A46,dichroic!$F$5:$H$1232,3),VLOOKUP($A46,dichroic!$F$5:$H$1232,2)),1)</f>
        <v>1</v>
      </c>
      <c r="G46" s="83">
        <f t="shared" ca="1" si="5"/>
        <v>0.86550999606452206</v>
      </c>
      <c r="H46" s="83">
        <f t="shared" ca="1" si="6"/>
        <v>0.93481350284052678</v>
      </c>
      <c r="I46" s="83">
        <f t="shared" ca="1" si="0"/>
        <v>0.95</v>
      </c>
      <c r="J46" s="89">
        <f t="shared" ca="1" si="1"/>
        <v>0.98</v>
      </c>
      <c r="K46" s="46">
        <f ca="1">VLOOKUP($A46,'SWIR data'!$A$5:$K$795,11)/100</f>
        <v>0.89953810816718571</v>
      </c>
      <c r="L46" s="90">
        <f t="shared" ca="1" si="2"/>
        <v>2.7031056270774108</v>
      </c>
      <c r="N46" s="6">
        <f t="shared" ca="1" si="3"/>
        <v>0.8048780487804883</v>
      </c>
    </row>
    <row r="47" spans="1:14" ht="15">
      <c r="A47" s="79">
        <f t="shared" ca="1" si="4"/>
        <v>1.7067080704210504</v>
      </c>
      <c r="B47" s="83">
        <f ca="1">IF($A47&lt;&gt;"",IF($E$5="pAu",VLOOKUP(A47,pAg!$A$2:$C$47,3),VLOOKUP(A47,pAg!$O$3:$P1215,2)),"")</f>
        <v>0.9816537882090911</v>
      </c>
      <c r="C47" s="83">
        <f ca="1">VLOOKUP(A47,pAg!$A$7:$C$47,3)</f>
        <v>0.99</v>
      </c>
      <c r="D47" s="87">
        <f ca="1">IF($A47&lt;&gt;"",1-VLOOKUP($N47,'AR sim'!$E$10:$F$38,2)*'H158'!$E$10/'AR sim'!$D$42,"")</f>
        <v>0.99668526785714284</v>
      </c>
      <c r="E47" s="88">
        <f ca="1">VLOOKUP($A47,'cycle4 AFTA filters 2'!$A$34:$G$181,'H158'!$I$2)</f>
        <v>0.95</v>
      </c>
      <c r="F47" s="87">
        <f>IF($L$10=1, IF($K$10="R",VLOOKUP($A47,dichroic!$F$5:$H$1232,3),VLOOKUP($A47,dichroic!$F$5:$H$1232,2)),1)</f>
        <v>1</v>
      </c>
      <c r="G47" s="83">
        <f t="shared" ca="1" si="5"/>
        <v>0.86599491046260524</v>
      </c>
      <c r="H47" s="83">
        <f t="shared" ca="1" si="6"/>
        <v>0.93502296471191293</v>
      </c>
      <c r="I47" s="83">
        <f t="shared" ca="1" si="0"/>
        <v>0.95</v>
      </c>
      <c r="J47" s="89">
        <f t="shared" ca="1" si="1"/>
        <v>0.98</v>
      </c>
      <c r="K47" s="46">
        <f ca="1">VLOOKUP($A47,'SWIR data'!$A$5:$K$795,11)/100</f>
        <v>0.90048193809101174</v>
      </c>
      <c r="L47" s="90">
        <f t="shared" ca="1" si="2"/>
        <v>2.7074578720446407</v>
      </c>
      <c r="N47" s="6">
        <f t="shared" ca="1" si="3"/>
        <v>0.82926829268292734</v>
      </c>
    </row>
    <row r="48" spans="1:14" ht="15">
      <c r="A48" s="79">
        <f t="shared" ca="1" si="4"/>
        <v>1.7163233271558169</v>
      </c>
      <c r="B48" s="83">
        <f ca="1">IF($A48&lt;&gt;"",IF($E$5="pAu",VLOOKUP(A48,pAg!$A$2:$C$47,3),VLOOKUP(A48,pAg!$O$3:$P1216,2)),"")</f>
        <v>0.98173424662272735</v>
      </c>
      <c r="C48" s="83">
        <f ca="1">VLOOKUP(A48,pAg!$A$7:$C$47,3)</f>
        <v>0.99</v>
      </c>
      <c r="D48" s="87">
        <f ca="1">IF($A48&lt;&gt;"",1-VLOOKUP($N48,'AR sim'!$E$10:$F$38,2)*'H158'!$E$10/'AR sim'!$D$42,"")</f>
        <v>0.99668526785714284</v>
      </c>
      <c r="E48" s="88">
        <f ca="1">VLOOKUP($A48,'cycle4 AFTA filters 2'!$A$34:$G$181,'H158'!$I$2)</f>
        <v>0.95</v>
      </c>
      <c r="F48" s="87">
        <f>IF($L$10=1, IF($K$10="R",VLOOKUP($A48,dichroic!$F$5:$H$1232,3),VLOOKUP($A48,dichroic!$F$5:$H$1232,2)),1)</f>
        <v>1</v>
      </c>
      <c r="G48" s="83">
        <f t="shared" ca="1" si="5"/>
        <v>0.86634986248420531</v>
      </c>
      <c r="H48" s="83">
        <f t="shared" ca="1" si="6"/>
        <v>0.93517624389930376</v>
      </c>
      <c r="I48" s="83">
        <f t="shared" ca="1" si="0"/>
        <v>0.95</v>
      </c>
      <c r="J48" s="89">
        <f t="shared" ca="1" si="1"/>
        <v>0.98</v>
      </c>
      <c r="K48" s="46">
        <f ca="1">VLOOKUP($A48,'SWIR data'!$A$5:$K$795,11)/100</f>
        <v>0.90138949675511559</v>
      </c>
      <c r="L48" s="90">
        <f t="shared" ca="1" si="2"/>
        <v>2.7112974524565847</v>
      </c>
      <c r="N48" s="6">
        <f t="shared" ca="1" si="3"/>
        <v>0.85365853658536639</v>
      </c>
    </row>
    <row r="49" spans="1:14" ht="15">
      <c r="A49" s="79">
        <f t="shared" ca="1" si="4"/>
        <v>1.7259385838905834</v>
      </c>
      <c r="B49" s="83">
        <f ca="1">IF($A49&lt;&gt;"",IF($E$5="pAu",VLOOKUP(A49,pAg!$A$2:$C$47,3),VLOOKUP(A49,pAg!$O$3:$P1217,2)),"")</f>
        <v>0.98177474493181816</v>
      </c>
      <c r="C49" s="83">
        <f ca="1">VLOOKUP(A49,pAg!$A$7:$C$47,3)</f>
        <v>0.99</v>
      </c>
      <c r="D49" s="87">
        <f ca="1">IF($A49&lt;&gt;"",1-VLOOKUP($N49,'AR sim'!$E$10:$F$38,2)*'H158'!$E$10/'AR sim'!$D$42,"")</f>
        <v>0.99646428571428569</v>
      </c>
      <c r="E49" s="88">
        <f ca="1">VLOOKUP($A49,'cycle4 AFTA filters 2'!$A$34:$G$181,'H158'!$I$2)</f>
        <v>0.95</v>
      </c>
      <c r="F49" s="87">
        <f>IF($L$10=1, IF($K$10="R",VLOOKUP($A49,dichroic!$F$5:$H$1232,3),VLOOKUP($A49,dichroic!$F$5:$H$1232,2)),1)</f>
        <v>1</v>
      </c>
      <c r="G49" s="83">
        <f t="shared" ca="1" si="5"/>
        <v>0.8665285697028291</v>
      </c>
      <c r="H49" s="83">
        <f t="shared" ca="1" si="6"/>
        <v>0.93525340090564446</v>
      </c>
      <c r="I49" s="83">
        <f t="shared" ca="1" si="0"/>
        <v>0.95</v>
      </c>
      <c r="J49" s="89">
        <f t="shared" ca="1" si="1"/>
        <v>0.98</v>
      </c>
      <c r="K49" s="46">
        <f ca="1">VLOOKUP($A49,'SWIR data'!$A$5:$K$795,11)/100</f>
        <v>0.90226056450681469</v>
      </c>
      <c r="L49" s="90">
        <f t="shared" ca="1" si="2"/>
        <v>2.714477361026689</v>
      </c>
      <c r="N49" s="6">
        <f t="shared" ca="1" si="3"/>
        <v>0.87804878048780532</v>
      </c>
    </row>
    <row r="50" spans="1:14" ht="15">
      <c r="A50" s="79">
        <f t="shared" ca="1" si="4"/>
        <v>1.7355538406253499</v>
      </c>
      <c r="B50" s="83">
        <f ca="1">IF($A50&lt;&gt;"",IF($E$5="pAu",VLOOKUP(A50,pAg!$A$2:$C$47,3),VLOOKUP(A50,pAg!$O$3:$P1218,2)),"")</f>
        <v>0.98182730806818197</v>
      </c>
      <c r="C50" s="83">
        <f ca="1">VLOOKUP(A50,pAg!$A$7:$C$47,3)</f>
        <v>0.99</v>
      </c>
      <c r="D50" s="87">
        <f ca="1">IF($A50&lt;&gt;"",1-VLOOKUP($N50,'AR sim'!$E$10:$F$38,2)*'H158'!$E$10/'AR sim'!$D$42,"")</f>
        <v>0.99513839285714289</v>
      </c>
      <c r="E50" s="88">
        <f ca="1">VLOOKUP($A50,'cycle4 AFTA filters 2'!$A$34:$G$181,'H158'!$I$2)</f>
        <v>0.95</v>
      </c>
      <c r="F50" s="87">
        <f>IF($L$10=1, IF($K$10="R",VLOOKUP($A50,dichroic!$F$5:$H$1232,3),VLOOKUP($A50,dichroic!$F$5:$H$1232,2)),1)</f>
        <v>1</v>
      </c>
      <c r="G50" s="83">
        <f t="shared" ca="1" si="5"/>
        <v>0.86676055945908481</v>
      </c>
      <c r="H50" s="83">
        <f t="shared" ca="1" si="6"/>
        <v>0.93535354845635788</v>
      </c>
      <c r="I50" s="83">
        <f t="shared" ca="1" si="0"/>
        <v>0.95</v>
      </c>
      <c r="J50" s="89">
        <f t="shared" ca="1" si="1"/>
        <v>0.98</v>
      </c>
      <c r="K50" s="46">
        <f ca="1">VLOOKUP($A50,'SWIR data'!$A$5:$K$795,11)/100</f>
        <v>0.90310402000697521</v>
      </c>
      <c r="L50" s="90">
        <f t="shared" ca="1" si="2"/>
        <v>2.7177423294147429</v>
      </c>
      <c r="N50" s="6">
        <f t="shared" ca="1" si="3"/>
        <v>0.90243902439024437</v>
      </c>
    </row>
    <row r="51" spans="1:14" ht="15">
      <c r="A51" s="79">
        <f t="shared" ca="1" si="4"/>
        <v>1.7451690973601164</v>
      </c>
      <c r="B51" s="83">
        <f ca="1">IF($A51&lt;&gt;"",IF($E$5="pAu",VLOOKUP(A51,pAg!$A$2:$C$47,3),VLOOKUP(A51,pAg!$O$3:$P1219,2)),"")</f>
        <v>0.98191481650909085</v>
      </c>
      <c r="C51" s="83">
        <f ca="1">VLOOKUP(A51,pAg!$A$7:$C$47,3)</f>
        <v>0.99</v>
      </c>
      <c r="D51" s="87">
        <f ca="1">IF($A51&lt;&gt;"",1-VLOOKUP($N51,'AR sim'!$E$10:$F$38,2)*'H158'!$E$10/'AR sim'!$D$42,"")</f>
        <v>0.99513839285714289</v>
      </c>
      <c r="E51" s="88">
        <f ca="1">VLOOKUP($A51,'cycle4 AFTA filters 2'!$A$34:$G$181,'H158'!$I$2)</f>
        <v>0.92502249828738559</v>
      </c>
      <c r="F51" s="87">
        <f>IF($L$10=1, IF($K$10="R",VLOOKUP($A51,dichroic!$F$5:$H$1232,3),VLOOKUP($A51,dichroic!$F$5:$H$1232,2)),1)</f>
        <v>1</v>
      </c>
      <c r="G51" s="83">
        <f t="shared" ca="1" si="5"/>
        <v>0.84434777316891052</v>
      </c>
      <c r="H51" s="83">
        <f t="shared" ca="1" si="6"/>
        <v>0.93552028852903624</v>
      </c>
      <c r="I51" s="83">
        <f t="shared" ca="1" si="0"/>
        <v>0.92502249828738559</v>
      </c>
      <c r="J51" s="89">
        <f t="shared" ca="1" si="1"/>
        <v>0.98</v>
      </c>
      <c r="K51" s="46">
        <f ca="1">VLOOKUP($A51,'SWIR data'!$A$5:$K$795,11)/100</f>
        <v>0.90391087170163364</v>
      </c>
      <c r="L51" s="90">
        <f t="shared" ca="1" si="2"/>
        <v>2.6498319617297845</v>
      </c>
      <c r="N51" s="6">
        <f t="shared" ca="1" si="3"/>
        <v>0.92682926829268342</v>
      </c>
    </row>
    <row r="52" spans="1:14" ht="15">
      <c r="A52" s="79">
        <f t="shared" ca="1" si="4"/>
        <v>1.7547843540948829</v>
      </c>
      <c r="B52" s="83">
        <f ca="1">IF($A52&lt;&gt;"",IF($E$5="pAu",VLOOKUP(A52,pAg!$A$2:$C$47,3),VLOOKUP(A52,pAg!$O$3:$P1220,2)),"")</f>
        <v>0.98202163428181821</v>
      </c>
      <c r="C52" s="83">
        <f ca="1">VLOOKUP(A52,pAg!$A$7:$C$47,3)</f>
        <v>0.99</v>
      </c>
      <c r="D52" s="87">
        <f ca="1">IF($A52&lt;&gt;"",1-VLOOKUP($N52,'AR sim'!$E$10:$F$38,2)*'H158'!$E$10/'AR sim'!$D$42,"")</f>
        <v>0.99381249999999999</v>
      </c>
      <c r="E52" s="88">
        <f ca="1">VLOOKUP($A52,'cycle4 AFTA filters 2'!$A$34:$G$181,'H158'!$I$2)</f>
        <v>0.80007052030819426</v>
      </c>
      <c r="F52" s="87">
        <f>IF($L$10=1, IF($K$10="R",VLOOKUP($A52,dichroic!$F$5:$H$1232,3),VLOOKUP($A52,dichroic!$F$5:$H$1232,2)),1)</f>
        <v>1</v>
      </c>
      <c r="G52" s="83">
        <f t="shared" ca="1" si="5"/>
        <v>0.73069064359521718</v>
      </c>
      <c r="H52" s="83">
        <f t="shared" ca="1" si="6"/>
        <v>0.9357238410721761</v>
      </c>
      <c r="I52" s="83">
        <f t="shared" ca="1" si="0"/>
        <v>0.80007052030819426</v>
      </c>
      <c r="J52" s="89">
        <f t="shared" ca="1" si="1"/>
        <v>0.98</v>
      </c>
      <c r="K52" s="46">
        <f ca="1">VLOOKUP($A52,'SWIR data'!$A$5:$K$795,11)/100</f>
        <v>0.90469001779669067</v>
      </c>
      <c r="L52" s="90">
        <f t="shared" ca="1" si="2"/>
        <v>2.2951163492093736</v>
      </c>
      <c r="N52" s="6">
        <f t="shared" ca="1" si="3"/>
        <v>0.95121951219512246</v>
      </c>
    </row>
    <row r="53" spans="1:14" ht="15">
      <c r="A53" s="79">
        <f t="shared" ca="1" si="4"/>
        <v>1.7643996108296494</v>
      </c>
      <c r="B53" s="83">
        <f ca="1">IF($A53&lt;&gt;"",IF($E$5="pAu",VLOOKUP(A53,pAg!$A$2:$C$47,3),VLOOKUP(A53,pAg!$O$3:$P1221,2)),"")</f>
        <v>0.982075988418182</v>
      </c>
      <c r="C53" s="83">
        <f ca="1">VLOOKUP(A53,pAg!$A$7:$C$47,3)</f>
        <v>0.99</v>
      </c>
      <c r="D53" s="87">
        <f ca="1">IF($A53&lt;&gt;"",1-VLOOKUP($N53,'AR sim'!$E$10:$F$38,2)*'H158'!$E$10/'AR sim'!$D$42,"")</f>
        <v>0.99248660714285719</v>
      </c>
      <c r="E53" s="88">
        <f ca="1">VLOOKUP($A53,'cycle4 AFTA filters 2'!$A$34:$G$181,'H158'!$I$2)</f>
        <v>0.67511854232900292</v>
      </c>
      <c r="F53" s="87">
        <f>IF($L$10=1, IF($K$10="R",VLOOKUP($A53,dichroic!$F$5:$H$1232,3),VLOOKUP($A53,dichroic!$F$5:$H$1232,2)),1)</f>
        <v>1</v>
      </c>
      <c r="G53" s="83">
        <f t="shared" ca="1" si="5"/>
        <v>0.61674480489495831</v>
      </c>
      <c r="H53" s="83">
        <f t="shared" ca="1" si="6"/>
        <v>0.93582742711758382</v>
      </c>
      <c r="I53" s="83">
        <f t="shared" ca="1" si="0"/>
        <v>0.67511854232900292</v>
      </c>
      <c r="J53" s="89">
        <f t="shared" ca="1" si="1"/>
        <v>0.98</v>
      </c>
      <c r="K53" s="46">
        <f ca="1">VLOOKUP($A53,'SWIR data'!$A$5:$K$795,11)/100</f>
        <v>0.90544126808114755</v>
      </c>
      <c r="L53" s="90">
        <f t="shared" ca="1" si="2"/>
        <v>1.938818462758874</v>
      </c>
      <c r="N53" s="6">
        <f t="shared" ca="1" si="3"/>
        <v>0.97560975609756151</v>
      </c>
    </row>
    <row r="54" spans="1:14" ht="15">
      <c r="A54" s="79">
        <f t="shared" ca="1" si="4"/>
        <v>1.7740148675644158</v>
      </c>
      <c r="B54" s="83">
        <f ca="1">IF($A54&lt;&gt;"",IF($E$5="pAu",VLOOKUP(A54,pAg!$A$2:$C$47,3),VLOOKUP(A54,pAg!$O$3:$P1222,2)),"")</f>
        <v>0.98209545152272726</v>
      </c>
      <c r="C54" s="83">
        <f ca="1">VLOOKUP(A54,pAg!$A$7:$C$47,3)</f>
        <v>0.99</v>
      </c>
      <c r="D54" s="87">
        <f ca="1">IF($A54&lt;&gt;"",1-VLOOKUP($N54,'AR sim'!$E$10:$F$38,2)*'H158'!$E$10/'AR sim'!$D$42,"")</f>
        <v>0.99116071428571428</v>
      </c>
      <c r="E54" s="88">
        <f t="shared" ref="E54" ca="1" si="7">E53</f>
        <v>0.67511854232900292</v>
      </c>
      <c r="F54" s="87">
        <f>IF($L$10=1, IF($K$10="R",VLOOKUP($A54,dichroic!$F$5:$H$1232,3),VLOOKUP($A54,dichroic!$F$5:$H$1232,2)),1)</f>
        <v>1</v>
      </c>
      <c r="G54" s="83">
        <f t="shared" ca="1" si="5"/>
        <v>0.61680592157307534</v>
      </c>
      <c r="H54" s="83">
        <f t="shared" ca="1" si="6"/>
        <v>0.93586452055587521</v>
      </c>
      <c r="I54" s="83">
        <f t="shared" ca="1" si="0"/>
        <v>0.67511854232900292</v>
      </c>
      <c r="J54" s="89">
        <f t="shared" ca="1" si="1"/>
        <v>0.98</v>
      </c>
      <c r="K54" s="46">
        <f ca="1">VLOOKUP($A54,'SWIR data'!$A$5:$K$795,11)/100</f>
        <v>0.90616473893825011</v>
      </c>
      <c r="L54" s="90">
        <f t="shared" ca="1" si="2"/>
        <v>1.9405599104049465</v>
      </c>
      <c r="N54" s="6">
        <f t="shared" ca="1" si="3"/>
        <v>1.0000000000000007</v>
      </c>
    </row>
    <row r="55" spans="1:14" ht="19.5" customHeight="1">
      <c r="A55" s="80" t="s">
        <v>335</v>
      </c>
      <c r="B55" s="81">
        <f ca="1">AVERAGE(B13:B54)</f>
        <v>0.98036317368755432</v>
      </c>
      <c r="C55" s="81"/>
      <c r="D55" s="81">
        <f t="shared" ref="D55:E55" ca="1" si="8">AVERAGE(D13:D54)</f>
        <v>0.99529623724489824</v>
      </c>
      <c r="E55" s="81">
        <f t="shared" ca="1" si="8"/>
        <v>0.89786124578352366</v>
      </c>
      <c r="F55" s="81"/>
      <c r="G55" s="81">
        <f t="shared" ref="G55:L55" ca="1" si="9">AVERAGE(G13:G54)</f>
        <v>0.81332016934026763</v>
      </c>
      <c r="H55" s="81">
        <f t="shared" ca="1" si="9"/>
        <v>0.93256738117628724</v>
      </c>
      <c r="I55" s="81">
        <f t="shared" ca="1" si="9"/>
        <v>0.89786124578352366</v>
      </c>
      <c r="J55" s="81">
        <f t="shared" ca="1" si="9"/>
        <v>0.97999999999999954</v>
      </c>
      <c r="K55" s="81">
        <f t="shared" ca="1" si="9"/>
        <v>0.8804473607517822</v>
      </c>
      <c r="L55" s="81">
        <f t="shared" ca="1" si="9"/>
        <v>2.4892780527765761</v>
      </c>
      <c r="N55" s="6"/>
    </row>
    <row r="56" spans="1:14" ht="15">
      <c r="A56" s="82" t="s">
        <v>370</v>
      </c>
      <c r="B56" s="83">
        <f ca="1">STDEV(B13:B54)</f>
        <v>1.2222228353511437E-3</v>
      </c>
      <c r="C56" s="83"/>
      <c r="D56" s="83">
        <f t="shared" ref="D56:E56" ca="1" si="10">STDEV(D13:D54)</f>
        <v>2.4001260754567665E-3</v>
      </c>
      <c r="E56" s="83">
        <f t="shared" ca="1" si="10"/>
        <v>0.13304735058067044</v>
      </c>
      <c r="F56" s="83"/>
      <c r="G56" s="83">
        <f t="shared" ref="G56:L56" ca="1" si="11">STDEV(G13:G54)</f>
        <v>0.12121837417986049</v>
      </c>
      <c r="H56" s="83">
        <f t="shared" ca="1" si="11"/>
        <v>2.3247549129310919E-3</v>
      </c>
      <c r="I56" s="83">
        <f t="shared" ca="1" si="11"/>
        <v>0.13304735058067044</v>
      </c>
      <c r="J56" s="83">
        <f t="shared" ca="1" si="11"/>
        <v>2.9436635871219325E-8</v>
      </c>
      <c r="K56" s="83">
        <f t="shared" ca="1" si="11"/>
        <v>1.9552166152710583E-2</v>
      </c>
      <c r="L56" s="83">
        <f t="shared" ca="1" si="11"/>
        <v>0.3845340973180999</v>
      </c>
      <c r="N56" s="6"/>
    </row>
    <row r="57" spans="1:14" ht="15">
      <c r="A57" s="82" t="s">
        <v>336</v>
      </c>
      <c r="B57" s="83">
        <f ca="1">MIN(B13:B54)</f>
        <v>0.9781226652727274</v>
      </c>
      <c r="C57" s="83"/>
      <c r="D57" s="83">
        <f t="shared" ref="D57:E57" ca="1" si="12">MIN(D13:D54)</f>
        <v>0.98762499999999998</v>
      </c>
      <c r="E57" s="83">
        <f t="shared" ca="1" si="12"/>
        <v>0.34273174023945097</v>
      </c>
      <c r="F57" s="83"/>
      <c r="G57" s="83">
        <f t="shared" ref="G57:L57" ca="1" si="13">MIN(G13:G54)</f>
        <v>0.30684633405874462</v>
      </c>
      <c r="H57" s="83">
        <f t="shared" ca="1" si="13"/>
        <v>0.9283082903311648</v>
      </c>
      <c r="I57" s="83">
        <f t="shared" ca="1" si="13"/>
        <v>0.34273174023945097</v>
      </c>
      <c r="J57" s="83">
        <f t="shared" ca="1" si="13"/>
        <v>0.98</v>
      </c>
      <c r="K57" s="83">
        <f t="shared" ca="1" si="13"/>
        <v>0.83997283687023039</v>
      </c>
      <c r="L57" s="83">
        <f t="shared" ca="1" si="13"/>
        <v>0.89486504284061308</v>
      </c>
      <c r="N57" s="6"/>
    </row>
    <row r="58" spans="1:14" ht="15">
      <c r="A58" s="82" t="s">
        <v>337</v>
      </c>
      <c r="B58" s="83">
        <f ca="1">MAX(B13:B54)</f>
        <v>0.98209545152272726</v>
      </c>
      <c r="C58" s="83"/>
      <c r="D58" s="83">
        <f t="shared" ref="D58:E58" ca="1" si="14">MAX(D13:D54)</f>
        <v>0.9973482142857143</v>
      </c>
      <c r="E58" s="83">
        <f t="shared" ca="1" si="14"/>
        <v>0.95</v>
      </c>
      <c r="F58" s="83"/>
      <c r="G58" s="83">
        <f t="shared" ref="G58:L58" ca="1" si="15">MAX(G13:G54)</f>
        <v>0.86676055945908481</v>
      </c>
      <c r="H58" s="83">
        <f t="shared" ca="1" si="15"/>
        <v>0.93586452055587521</v>
      </c>
      <c r="I58" s="83">
        <f t="shared" ca="1" si="15"/>
        <v>0.95</v>
      </c>
      <c r="J58" s="83">
        <f t="shared" ca="1" si="15"/>
        <v>0.98</v>
      </c>
      <c r="K58" s="83">
        <f t="shared" ca="1" si="15"/>
        <v>0.90616473893825011</v>
      </c>
      <c r="L58" s="83">
        <f t="shared" ca="1" si="15"/>
        <v>2.7177423294147429</v>
      </c>
      <c r="N58" s="6"/>
    </row>
    <row r="59" spans="1:14">
      <c r="L59" s="5"/>
      <c r="M59" s="5"/>
    </row>
    <row r="60" spans="1:14">
      <c r="G60" s="6"/>
      <c r="H60" s="6"/>
      <c r="I60" s="6"/>
      <c r="J60" s="6"/>
      <c r="L60" s="7"/>
      <c r="M60" s="7"/>
    </row>
    <row r="61" spans="1:14">
      <c r="E61" s="6"/>
      <c r="F61" s="6"/>
      <c r="G61" s="6"/>
      <c r="H61" s="6"/>
      <c r="I61" s="6"/>
      <c r="J61" s="6"/>
      <c r="L61" s="7"/>
      <c r="M61" s="7"/>
    </row>
  </sheetData>
  <sheetCalcPr fullCalcOnLoad="1"/>
  <mergeCells count="12">
    <mergeCell ref="A11:D11"/>
    <mergeCell ref="I1:J1"/>
    <mergeCell ref="H3:J3"/>
    <mergeCell ref="H4:K4"/>
    <mergeCell ref="A5:B5"/>
    <mergeCell ref="H5:K5"/>
    <mergeCell ref="H6:K6"/>
    <mergeCell ref="H7:K7"/>
    <mergeCell ref="H8:K8"/>
    <mergeCell ref="A9:B9"/>
    <mergeCell ref="H9:J9"/>
    <mergeCell ref="A10:B10"/>
  </mergeCells>
  <phoneticPr fontId="26" type="noConversion"/>
  <printOptions gridLines="1"/>
  <pageMargins left="0.24" right="0.19" top="0.62" bottom="0.7" header="0.5" footer="0.5"/>
  <pageSetup scale="53" orientation="landscape" horizontalDpi="1200" verticalDpi="1200"/>
  <headerFooter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61"/>
  <sheetViews>
    <sheetView topLeftCell="A13" zoomScale="75" zoomScaleNormal="75" zoomScalePageLayoutView="75" workbookViewId="0">
      <selection activeCell="E59" sqref="E59"/>
    </sheetView>
  </sheetViews>
  <sheetFormatPr baseColWidth="10" defaultColWidth="8.83203125" defaultRowHeight="12"/>
  <cols>
    <col min="1" max="1" width="11.33203125" customWidth="1"/>
    <col min="2" max="2" width="12.6640625" customWidth="1"/>
    <col min="3" max="3" width="12" customWidth="1"/>
    <col min="4" max="4" width="16" customWidth="1"/>
    <col min="5" max="5" width="10.6640625" customWidth="1"/>
    <col min="6" max="6" width="9.6640625" customWidth="1"/>
    <col min="7" max="7" width="9.83203125" customWidth="1"/>
    <col min="8" max="8" width="11.6640625" customWidth="1"/>
    <col min="9" max="9" width="12.5" customWidth="1"/>
    <col min="10" max="10" width="10.1640625" customWidth="1"/>
    <col min="11" max="11" width="9.6640625" customWidth="1"/>
    <col min="12" max="12" width="12" bestFit="1" customWidth="1"/>
    <col min="13" max="13" width="12.1640625" customWidth="1"/>
    <col min="14" max="14" width="10.33203125" customWidth="1"/>
  </cols>
  <sheetData>
    <row r="1" spans="1:15" ht="15.75" customHeight="1" thickBot="1">
      <c r="A1" s="30" t="s">
        <v>309</v>
      </c>
      <c r="G1" t="s">
        <v>238</v>
      </c>
      <c r="I1" s="211" t="str">
        <f ca="1">OFFSET('cycle4 AFTA filters 2'!$A$25,0,I2-1)</f>
        <v>F184</v>
      </c>
      <c r="J1" s="212"/>
    </row>
    <row r="2" spans="1:15" ht="13" customHeight="1" thickBot="1">
      <c r="A2" s="91" t="s">
        <v>334</v>
      </c>
      <c r="B2" s="91"/>
      <c r="C2" s="91"/>
      <c r="D2" s="91"/>
      <c r="E2" s="91"/>
      <c r="F2" s="91"/>
      <c r="G2" s="91"/>
      <c r="H2" s="91" t="s">
        <v>40</v>
      </c>
      <c r="I2" s="91">
        <v>2</v>
      </c>
      <c r="J2" s="91"/>
      <c r="K2" s="91"/>
      <c r="L2" s="91"/>
      <c r="M2" s="91"/>
      <c r="N2" s="91"/>
      <c r="O2" s="91"/>
    </row>
    <row r="3" spans="1:15" ht="14" thickBot="1">
      <c r="A3" s="91"/>
      <c r="B3" s="181" t="s">
        <v>310</v>
      </c>
      <c r="C3" s="181"/>
      <c r="D3" s="181" t="s">
        <v>333</v>
      </c>
      <c r="E3" s="207">
        <f ca="1">HLOOKUP($I$1,'cycle4 AFTA filters 2'!$B$25:$G$28,2)</f>
        <v>1.6832392529960609</v>
      </c>
      <c r="F3" s="128"/>
      <c r="G3" s="94"/>
      <c r="H3" s="213" t="s">
        <v>314</v>
      </c>
      <c r="I3" s="214"/>
      <c r="J3" s="214"/>
      <c r="K3" s="183" t="s">
        <v>323</v>
      </c>
      <c r="L3" s="93">
        <v>2.36</v>
      </c>
      <c r="M3" s="91" t="s">
        <v>237</v>
      </c>
      <c r="N3" s="91"/>
      <c r="O3" s="91"/>
    </row>
    <row r="4" spans="1:15" ht="13">
      <c r="A4" s="91"/>
      <c r="B4" s="181" t="s">
        <v>311</v>
      </c>
      <c r="C4" s="181"/>
      <c r="D4" s="155" t="s">
        <v>338</v>
      </c>
      <c r="E4" s="207">
        <f ca="1">HLOOKUP($I$1,'cycle4 AFTA filters 2'!$B$25:$G$28,3)</f>
        <v>2</v>
      </c>
      <c r="F4" s="128"/>
      <c r="G4" s="94"/>
      <c r="H4" s="213" t="s">
        <v>313</v>
      </c>
      <c r="I4" s="213"/>
      <c r="J4" s="213"/>
      <c r="K4" s="213"/>
      <c r="L4" s="204">
        <f>F5+F6</f>
        <v>5</v>
      </c>
      <c r="M4" s="91"/>
      <c r="N4" s="105" t="s">
        <v>321</v>
      </c>
      <c r="O4" s="97">
        <f>$L$3^2*PI()/4</f>
        <v>4.3743536108584271</v>
      </c>
    </row>
    <row r="5" spans="1:15" ht="58.25" customHeight="1">
      <c r="A5" s="215">
        <v>41777</v>
      </c>
      <c r="B5" s="216"/>
      <c r="C5" s="184"/>
      <c r="D5" s="156" t="s">
        <v>19</v>
      </c>
      <c r="E5" s="99" t="s">
        <v>306</v>
      </c>
      <c r="F5" s="129">
        <v>2</v>
      </c>
      <c r="G5" s="94"/>
      <c r="H5" s="213" t="s">
        <v>195</v>
      </c>
      <c r="I5" s="213"/>
      <c r="J5" s="213"/>
      <c r="K5" s="213"/>
      <c r="L5" s="96">
        <f>ImC!$L$5</f>
        <v>0</v>
      </c>
      <c r="M5" s="91" t="s">
        <v>236</v>
      </c>
      <c r="N5" s="91"/>
      <c r="O5" s="97">
        <f ca="1">$O$4*(1-$L$6^2-$L$7-$L$8)</f>
        <v>3.367814844999903</v>
      </c>
    </row>
    <row r="6" spans="1:15" ht="13">
      <c r="A6" s="91"/>
      <c r="B6" s="91"/>
      <c r="C6" s="91"/>
      <c r="D6" s="180" t="s">
        <v>20</v>
      </c>
      <c r="E6" s="100"/>
      <c r="F6" s="128">
        <v>3</v>
      </c>
      <c r="G6" s="94"/>
      <c r="H6" s="213" t="s">
        <v>315</v>
      </c>
      <c r="I6" s="213"/>
      <c r="J6" s="213"/>
      <c r="K6" s="213"/>
      <c r="L6" s="96">
        <v>0.31</v>
      </c>
      <c r="M6" s="91"/>
      <c r="N6" s="91"/>
      <c r="O6" s="97"/>
    </row>
    <row r="7" spans="1:15" ht="13">
      <c r="A7" s="154"/>
      <c r="B7" s="133"/>
      <c r="C7" s="133"/>
      <c r="D7" s="91" t="s">
        <v>333</v>
      </c>
      <c r="E7" s="209">
        <f ca="1">0.5*(E3+E4)</f>
        <v>1.8416196264980305</v>
      </c>
      <c r="F7" s="129"/>
      <c r="G7" s="91"/>
      <c r="H7" s="217" t="s">
        <v>235</v>
      </c>
      <c r="I7" s="217"/>
      <c r="J7" s="217"/>
      <c r="K7" s="217"/>
      <c r="L7" s="106">
        <v>5.3999999999999999E-2</v>
      </c>
      <c r="M7" s="91"/>
      <c r="N7" s="91"/>
      <c r="O7" s="91"/>
    </row>
    <row r="8" spans="1:15" ht="14" thickBot="1">
      <c r="A8" s="91" t="s">
        <v>248</v>
      </c>
      <c r="B8" s="91"/>
      <c r="C8" s="91"/>
      <c r="D8" s="91"/>
      <c r="E8" s="127">
        <f ca="1">1/E10</f>
        <v>5.8139136364491808</v>
      </c>
      <c r="F8" s="128"/>
      <c r="G8" s="102"/>
      <c r="H8" s="217" t="s">
        <v>234</v>
      </c>
      <c r="I8" s="217"/>
      <c r="J8" s="217"/>
      <c r="K8" s="217"/>
      <c r="L8" s="106">
        <f ca="1">OFFSET('cycle4 AFTA filters 2'!$A$25,4,'F184'!I2-1)</f>
        <v>0.08</v>
      </c>
      <c r="M8" s="91"/>
      <c r="N8" s="91"/>
      <c r="O8" s="91"/>
    </row>
    <row r="9" spans="1:15" ht="14" thickBot="1">
      <c r="A9" s="217" t="s">
        <v>312</v>
      </c>
      <c r="B9" s="218"/>
      <c r="C9" s="182"/>
      <c r="D9" s="181" t="s">
        <v>333</v>
      </c>
      <c r="E9" s="103">
        <f ca="1">(E4-E3)/41</f>
        <v>7.7258718781448559E-3</v>
      </c>
      <c r="F9" s="103"/>
      <c r="G9" s="91"/>
      <c r="H9" s="217" t="s">
        <v>317</v>
      </c>
      <c r="I9" s="217"/>
      <c r="J9" s="217"/>
      <c r="K9" s="181"/>
      <c r="L9" s="101">
        <v>0.02</v>
      </c>
      <c r="M9" s="91"/>
      <c r="N9" s="91"/>
      <c r="O9" s="91"/>
    </row>
    <row r="10" spans="1:15" ht="14.25" customHeight="1">
      <c r="A10" s="217" t="s">
        <v>316</v>
      </c>
      <c r="B10" s="218"/>
      <c r="C10" s="182"/>
      <c r="D10" s="182"/>
      <c r="E10" s="102">
        <f ca="1">(E4-E3)/((E3+E4)/2)</f>
        <v>0.17200117898736883</v>
      </c>
      <c r="F10" s="102"/>
      <c r="G10" s="91"/>
      <c r="H10" s="91"/>
      <c r="I10" s="91" t="s">
        <v>190</v>
      </c>
      <c r="J10" s="91"/>
      <c r="K10" s="104" t="s">
        <v>186</v>
      </c>
      <c r="L10" s="96">
        <v>0</v>
      </c>
      <c r="M10" s="91"/>
      <c r="N10" s="91"/>
      <c r="O10" s="91"/>
    </row>
    <row r="11" spans="1:15" ht="14.25" customHeight="1" thickBot="1">
      <c r="A11" s="219" t="s">
        <v>247</v>
      </c>
      <c r="B11" s="220"/>
      <c r="C11" s="220"/>
      <c r="D11" s="220"/>
      <c r="E11" s="102">
        <v>0.95</v>
      </c>
      <c r="F11" s="102"/>
      <c r="G11" s="91"/>
      <c r="H11" s="91"/>
      <c r="I11" s="91"/>
      <c r="J11" s="91"/>
      <c r="K11" s="91"/>
      <c r="L11" s="91" t="s">
        <v>342</v>
      </c>
      <c r="M11" s="91"/>
      <c r="N11" s="91"/>
      <c r="O11" s="91"/>
    </row>
    <row r="12" spans="1:15" ht="64.5" customHeight="1">
      <c r="A12" s="84" t="s">
        <v>165</v>
      </c>
      <c r="B12" s="85" t="s">
        <v>0</v>
      </c>
      <c r="C12" s="85" t="s">
        <v>18</v>
      </c>
      <c r="D12" s="85" t="s">
        <v>367</v>
      </c>
      <c r="E12" s="85" t="s">
        <v>196</v>
      </c>
      <c r="F12" s="85" t="s">
        <v>189</v>
      </c>
      <c r="G12" s="85" t="s">
        <v>191</v>
      </c>
      <c r="H12" s="85" t="s">
        <v>324</v>
      </c>
      <c r="I12" s="86" t="s">
        <v>325</v>
      </c>
      <c r="J12" s="85" t="s">
        <v>183</v>
      </c>
      <c r="K12" s="85" t="s">
        <v>341</v>
      </c>
      <c r="L12" s="85" t="s">
        <v>320</v>
      </c>
      <c r="N12" s="5" t="s">
        <v>322</v>
      </c>
    </row>
    <row r="13" spans="1:15" ht="15.75" customHeight="1">
      <c r="A13" s="78">
        <f ca="1">E3</f>
        <v>1.6832392529960609</v>
      </c>
      <c r="B13" s="83">
        <f ca="1">IF($A13&lt;&gt;"",IF($E$5="pAu",VLOOKUP(A13,pAg!$A$2:$C$47,3),VLOOKUP(A13,pAg!$O$3:$P1203,2)),"")</f>
        <v>0.98145122610909086</v>
      </c>
      <c r="C13" s="83">
        <f ca="1">VLOOKUP(A13,pAg!$A$7:$C$47,3)</f>
        <v>0.99</v>
      </c>
      <c r="D13" s="87">
        <f ca="1">IF($A13&lt;&gt;"",1-VLOOKUP($N13,'AR sim'!$E$10:$F$38,2)*'F184'!$E$10/'AR sim'!$D$42,"")</f>
        <v>0.99148594164012527</v>
      </c>
      <c r="E13" s="208">
        <f ca="1">VLOOKUP($A13,'cycle4 AFTA filters 2'!$A$34:$G$181,'F184'!$I$2)</f>
        <v>0.45734210612967841</v>
      </c>
      <c r="F13" s="87">
        <f>IF($L$10=1, IF($K$10="R",VLOOKUP($A13,dichroic!$F$5:$H$1232,3),VLOOKUP($A13,dichroic!$F$5:$H$1232,2)),1)</f>
        <v>1</v>
      </c>
      <c r="G13" s="83">
        <f ca="1">IF($A13&lt;&gt;"",$B13^$L$4*$D13^(2*($L$5))*$E13*$F13,"")</f>
        <v>0.41647102999532137</v>
      </c>
      <c r="H13" s="83">
        <f ca="1">IF($A13&lt;&gt;"",$B13^$F$5*$C13^$F$6,"")</f>
        <v>0.93463712466036664</v>
      </c>
      <c r="I13" s="83">
        <f t="shared" ref="I13:I54" ca="1" si="0">IF($A13&lt;&gt;"",$D13^(2*($L$5))*$E13,"")</f>
        <v>0.45734210612967841</v>
      </c>
      <c r="J13" s="89">
        <f t="shared" ref="J13:J54" ca="1" si="1">IF($A13&lt;&gt;"",(1-$L$9),"")</f>
        <v>0.98</v>
      </c>
      <c r="K13" s="46">
        <f ca="1">VLOOKUP($A13,'SWIR data'!$A$5:$K$795,11)/100</f>
        <v>0.89789244865150375</v>
      </c>
      <c r="L13" s="90">
        <f t="shared" ref="L13:L54" ca="1" si="2">IF($A13&lt;&gt;"",G13*$K13*$J13*$O$5,"")</f>
        <v>1.2341939089354406</v>
      </c>
      <c r="N13" s="6">
        <f t="shared" ref="N13:N54" ca="1" si="3">($A13-$E$3)/($E$4-$E$3)</f>
        <v>0</v>
      </c>
    </row>
    <row r="14" spans="1:15" ht="15.75" customHeight="1">
      <c r="A14" s="79">
        <f t="shared" ref="A14:A54" ca="1" si="4">IF(A13&lt;&gt;"",IF(A13+$E$9&gt;$E$4,"",A13+$E$9),"")</f>
        <v>1.6909651248742057</v>
      </c>
      <c r="B14" s="83">
        <f ca="1">IF($A14&lt;&gt;"",IF($E$5="pAu",VLOOKUP(A14,pAg!$A$2:$C$47,3),VLOOKUP(A14,pAg!$O$3:$P1204,2)),"")</f>
        <v>0.98150729345454535</v>
      </c>
      <c r="C14" s="83">
        <f ca="1">VLOOKUP(A14,pAg!$A$7:$C$47,3)</f>
        <v>0.99</v>
      </c>
      <c r="D14" s="87">
        <f ca="1">IF($A14&lt;&gt;"",1-VLOOKUP($N14,'AR sim'!$E$10:$F$38,2)*'F184'!$E$10/'AR sim'!$D$42,"")</f>
        <v>0.99148594164012527</v>
      </c>
      <c r="E14" s="88">
        <f ca="1">VLOOKUP($A14,'cycle4 AFTA filters 2'!$A$34:$G$181,'F184'!$I$2)</f>
        <v>0.58903263453918053</v>
      </c>
      <c r="F14" s="87">
        <f>IF($L$10=1, IF($K$10="R",VLOOKUP($A14,dichroic!$F$5:$H$1232,3),VLOOKUP($A14,dichroic!$F$5:$H$1232,2)),1)</f>
        <v>1</v>
      </c>
      <c r="G14" s="83">
        <f t="shared" ref="G14:G54" ca="1" si="5">IF($A14&lt;&gt;"",$B14^$L$4*$D14^(2*($L$5))*$E14*$F14,"")</f>
        <v>0.53654606313180897</v>
      </c>
      <c r="H14" s="83">
        <f t="shared" ref="H14:H54" ca="1" si="6">IF($A14&lt;&gt;"",$B14^$F$5*$C14^$F$6,"")</f>
        <v>0.93474391370489718</v>
      </c>
      <c r="I14" s="83">
        <f t="shared" ca="1" si="0"/>
        <v>0.58903263453918053</v>
      </c>
      <c r="J14" s="89">
        <f t="shared" ca="1" si="1"/>
        <v>0.98</v>
      </c>
      <c r="K14" s="46">
        <f ca="1">VLOOKUP($A14,'SWIR data'!$A$5:$K$795,11)/100</f>
        <v>0.89889061395808822</v>
      </c>
      <c r="L14" s="90">
        <f t="shared" ca="1" si="2"/>
        <v>1.5917986823629655</v>
      </c>
      <c r="N14" s="6">
        <f t="shared" ca="1" si="3"/>
        <v>2.4390243902438768E-2</v>
      </c>
    </row>
    <row r="15" spans="1:15" ht="16.5" customHeight="1">
      <c r="A15" s="79">
        <f t="shared" ca="1" si="4"/>
        <v>1.6986909967523505</v>
      </c>
      <c r="B15" s="83">
        <f ca="1">IF($A15&lt;&gt;"",IF($E$5="pAu",VLOOKUP(A15,pAg!$A$2:$C$47,3),VLOOKUP(A15,pAg!$O$3:$P1205,2)),"")</f>
        <v>0.98155340989545448</v>
      </c>
      <c r="C15" s="83">
        <f ca="1">VLOOKUP(A15,pAg!$A$7:$C$47,3)</f>
        <v>0.99</v>
      </c>
      <c r="D15" s="87">
        <f ca="1">IF($A15&lt;&gt;"",1-VLOOKUP($N15,'AR sim'!$E$10:$F$38,2)*'F184'!$E$10/'AR sim'!$D$42,"")</f>
        <v>0.99331038271724126</v>
      </c>
      <c r="E15" s="88">
        <f ca="1">VLOOKUP($A15,'cycle4 AFTA filters 2'!$A$34:$G$181,'F184'!$I$2)</f>
        <v>0.58903263453918053</v>
      </c>
      <c r="F15" s="87">
        <f>IF($L$10=1, IF($K$10="R",VLOOKUP($A15,dichroic!$F$5:$H$1232,3),VLOOKUP($A15,dichroic!$F$5:$H$1232,2)),1)</f>
        <v>1</v>
      </c>
      <c r="G15" s="83">
        <f t="shared" ca="1" si="5"/>
        <v>0.53667212393778307</v>
      </c>
      <c r="H15" s="83">
        <f t="shared" ca="1" si="6"/>
        <v>0.93483175426491882</v>
      </c>
      <c r="I15" s="83">
        <f t="shared" ca="1" si="0"/>
        <v>0.58903263453918053</v>
      </c>
      <c r="J15" s="89">
        <f t="shared" ca="1" si="1"/>
        <v>0.98</v>
      </c>
      <c r="K15" s="46">
        <f ca="1">VLOOKUP($A15,'SWIR data'!$A$5:$K$795,11)/100</f>
        <v>0.89953810816718571</v>
      </c>
      <c r="L15" s="90">
        <f t="shared" ca="1" si="2"/>
        <v>1.5933195566585743</v>
      </c>
      <c r="N15" s="6">
        <f t="shared" ca="1" si="3"/>
        <v>4.8780487804877537E-2</v>
      </c>
    </row>
    <row r="16" spans="1:15" ht="14.25" customHeight="1">
      <c r="A16" s="79">
        <f t="shared" ca="1" si="4"/>
        <v>1.7064168686304952</v>
      </c>
      <c r="B16" s="83">
        <f ca="1">IF($A16&lt;&gt;"",IF($E$5="pAu",VLOOKUP(A16,pAg!$A$2:$C$47,3),VLOOKUP(A16,pAg!$O$3:$P1206,2)),"")</f>
        <v>0.9816537882090911</v>
      </c>
      <c r="C16" s="83">
        <f ca="1">VLOOKUP(A16,pAg!$A$7:$C$47,3)</f>
        <v>0.99</v>
      </c>
      <c r="D16" s="87">
        <f ca="1">IF($A16&lt;&gt;"",1-VLOOKUP($N16,'AR sim'!$E$10:$F$38,2)*'F184'!$E$10/'AR sim'!$D$42,"")</f>
        <v>0.99513482379435725</v>
      </c>
      <c r="E16" s="88">
        <f ca="1">VLOOKUP($A16,'cycle4 AFTA filters 2'!$A$34:$G$181,'F184'!$I$2)</f>
        <v>0.72072316294868255</v>
      </c>
      <c r="F16" s="87">
        <f>IF($L$10=1, IF($K$10="R",VLOOKUP($A16,dichroic!$F$5:$H$1232,3),VLOOKUP($A16,dichroic!$F$5:$H$1232,2)),1)</f>
        <v>1</v>
      </c>
      <c r="G16" s="83">
        <f t="shared" ca="1" si="5"/>
        <v>0.6569922010169158</v>
      </c>
      <c r="H16" s="83">
        <f t="shared" ca="1" si="6"/>
        <v>0.93502296471191293</v>
      </c>
      <c r="I16" s="83">
        <f t="shared" ca="1" si="0"/>
        <v>0.72072316294868255</v>
      </c>
      <c r="J16" s="89">
        <f t="shared" ca="1" si="1"/>
        <v>0.98</v>
      </c>
      <c r="K16" s="46">
        <f ca="1">VLOOKUP($A16,'SWIR data'!$A$5:$K$795,11)/100</f>
        <v>0.90048193809101174</v>
      </c>
      <c r="L16" s="90">
        <f t="shared" ca="1" si="2"/>
        <v>1.9525829960546657</v>
      </c>
      <c r="N16" s="6">
        <f t="shared" ca="1" si="3"/>
        <v>7.3170731707316305E-2</v>
      </c>
    </row>
    <row r="17" spans="1:14" ht="15">
      <c r="A17" s="79">
        <f t="shared" ca="1" si="4"/>
        <v>1.71414274050864</v>
      </c>
      <c r="B17" s="83">
        <f ca="1">IF($A17&lt;&gt;"",IF($E$5="pAu",VLOOKUP(A17,pAg!$A$2:$C$47,3),VLOOKUP(A17,pAg!$O$3:$P1207,2)),"")</f>
        <v>0.98171973138181812</v>
      </c>
      <c r="C17" s="83">
        <f ca="1">VLOOKUP(A17,pAg!$A$7:$C$47,3)</f>
        <v>0.99</v>
      </c>
      <c r="D17" s="87">
        <f ca="1">IF($A17&lt;&gt;"",1-VLOOKUP($N17,'AR sim'!$E$10:$F$38,2)*'F184'!$E$10/'AR sim'!$D$42,"")</f>
        <v>0.99513482379435725</v>
      </c>
      <c r="E17" s="88">
        <f ca="1">VLOOKUP($A17,'cycle4 AFTA filters 2'!$A$34:$G$181,'F184'!$I$2)</f>
        <v>0.85241369135818468</v>
      </c>
      <c r="F17" s="87">
        <f>IF($L$10=1, IF($K$10="R",VLOOKUP($A17,dichroic!$F$5:$H$1232,3),VLOOKUP($A17,dichroic!$F$5:$H$1232,2)),1)</f>
        <v>1</v>
      </c>
      <c r="G17" s="83">
        <f t="shared" ca="1" si="5"/>
        <v>0.77729883369721064</v>
      </c>
      <c r="H17" s="83">
        <f t="shared" ca="1" si="6"/>
        <v>0.93514859037052178</v>
      </c>
      <c r="I17" s="83">
        <f t="shared" ca="1" si="0"/>
        <v>0.85241369135818468</v>
      </c>
      <c r="J17" s="89">
        <f t="shared" ca="1" si="1"/>
        <v>0.98</v>
      </c>
      <c r="K17" s="46">
        <f ca="1">VLOOKUP($A17,'SWIR data'!$A$5:$K$795,11)/100</f>
        <v>0.90108393316797619</v>
      </c>
      <c r="L17" s="90">
        <f t="shared" ca="1" si="2"/>
        <v>2.3116790903967543</v>
      </c>
      <c r="N17" s="6">
        <f t="shared" ca="1" si="3"/>
        <v>9.7560975609755074E-2</v>
      </c>
    </row>
    <row r="18" spans="1:14" ht="15">
      <c r="A18" s="79">
        <f t="shared" ca="1" si="4"/>
        <v>1.7218686123867848</v>
      </c>
      <c r="B18" s="83">
        <f ca="1">IF($A18&lt;&gt;"",IF($E$5="pAu",VLOOKUP(A18,pAg!$A$2:$C$47,3),VLOOKUP(A18,pAg!$O$3:$P1208,2)),"")</f>
        <v>0.98176468276818174</v>
      </c>
      <c r="C18" s="83">
        <f ca="1">VLOOKUP(A18,pAg!$A$7:$C$47,3)</f>
        <v>0.99</v>
      </c>
      <c r="D18" s="87">
        <f ca="1">IF($A18&lt;&gt;"",1-VLOOKUP($N18,'AR sim'!$E$10:$F$38,2)*'F184'!$E$10/'AR sim'!$D$42,"")</f>
        <v>0.99635111784576791</v>
      </c>
      <c r="E18" s="88">
        <f ca="1">VLOOKUP($A18,'cycle4 AFTA filters 2'!$A$34:$G$181,'F184'!$I$2)</f>
        <v>0.95</v>
      </c>
      <c r="F18" s="87">
        <f>IF($L$10=1, IF($K$10="R",VLOOKUP($A18,dichroic!$F$5:$H$1232,3),VLOOKUP($A18,dichroic!$F$5:$H$1232,2)),1)</f>
        <v>1</v>
      </c>
      <c r="G18" s="83">
        <f t="shared" ca="1" si="5"/>
        <v>0.86648416555826113</v>
      </c>
      <c r="H18" s="83">
        <f t="shared" ca="1" si="6"/>
        <v>0.9352342302667882</v>
      </c>
      <c r="I18" s="83">
        <f t="shared" ca="1" si="0"/>
        <v>0.95</v>
      </c>
      <c r="J18" s="89">
        <f t="shared" ca="1" si="1"/>
        <v>0.98</v>
      </c>
      <c r="K18" s="46">
        <f ca="1">VLOOKUP($A18,'SWIR data'!$A$5:$K$795,11)/100</f>
        <v>0.90197322681848169</v>
      </c>
      <c r="L18" s="90">
        <f t="shared" ca="1" si="2"/>
        <v>2.5794585882384573</v>
      </c>
      <c r="N18" s="6">
        <f t="shared" ca="1" si="3"/>
        <v>0.12195121951219384</v>
      </c>
    </row>
    <row r="19" spans="1:14" ht="15">
      <c r="A19" s="79">
        <f t="shared" ca="1" si="4"/>
        <v>1.7295944842649296</v>
      </c>
      <c r="B19" s="83">
        <f ca="1">IF($A19&lt;&gt;"",IF($E$5="pAu",VLOOKUP(A19,pAg!$A$2:$C$47,3),VLOOKUP(A19,pAg!$O$3:$P1209,2)),"")</f>
        <v>0.9817972853000001</v>
      </c>
      <c r="C19" s="83">
        <f ca="1">VLOOKUP(A19,pAg!$A$7:$C$47,3)</f>
        <v>0.99</v>
      </c>
      <c r="D19" s="87">
        <f ca="1">IF($A19&lt;&gt;"",1-VLOOKUP($N19,'AR sim'!$E$10:$F$38,2)*'F184'!$E$10/'AR sim'!$D$42,"")</f>
        <v>0.99756741189717868</v>
      </c>
      <c r="E19" s="88">
        <f ca="1">VLOOKUP($A19,'cycle4 AFTA filters 2'!$A$34:$G$181,'F184'!$I$2)</f>
        <v>0.95</v>
      </c>
      <c r="F19" s="87">
        <f>IF($L$10=1, IF($K$10="R",VLOOKUP($A19,dichroic!$F$5:$H$1232,3),VLOOKUP($A19,dichroic!$F$5:$H$1232,2)),1)</f>
        <v>1</v>
      </c>
      <c r="G19" s="83">
        <f t="shared" ca="1" si="5"/>
        <v>0.86662804654300729</v>
      </c>
      <c r="H19" s="83">
        <f t="shared" ca="1" si="6"/>
        <v>0.93529634598669353</v>
      </c>
      <c r="I19" s="83">
        <f t="shared" ca="1" si="0"/>
        <v>0.95</v>
      </c>
      <c r="J19" s="89">
        <f t="shared" ca="1" si="1"/>
        <v>0.98</v>
      </c>
      <c r="K19" s="46">
        <f ca="1">VLOOKUP($A19,'SWIR data'!$A$5:$K$795,11)/100</f>
        <v>0.90254777384774132</v>
      </c>
      <c r="L19" s="90">
        <f t="shared" ca="1" si="2"/>
        <v>2.5815302707737966</v>
      </c>
      <c r="N19" s="6">
        <f t="shared" ca="1" si="3"/>
        <v>0.14634146341463261</v>
      </c>
    </row>
    <row r="20" spans="1:14" ht="15">
      <c r="A20" s="79">
        <f t="shared" ca="1" si="4"/>
        <v>1.7373203561430743</v>
      </c>
      <c r="B20" s="83">
        <f ca="1">IF($A20&lt;&gt;"",IF($E$5="pAu",VLOOKUP(A20,pAg!$A$2:$C$47,3),VLOOKUP(A20,pAg!$O$3:$P1210,2)),"")</f>
        <v>0.98185197773636379</v>
      </c>
      <c r="C20" s="83">
        <f ca="1">VLOOKUP(A20,pAg!$A$7:$C$47,3)</f>
        <v>0.99</v>
      </c>
      <c r="D20" s="87">
        <f ca="1">IF($A20&lt;&gt;"",1-VLOOKUP($N20,'AR sim'!$E$10:$F$38,2)*'F184'!$E$10/'AR sim'!$D$42,"")</f>
        <v>0.99756741189717868</v>
      </c>
      <c r="E20" s="88">
        <f ca="1">VLOOKUP($A20,'cycle4 AFTA filters 2'!$A$34:$G$181,'F184'!$I$2)</f>
        <v>0.95</v>
      </c>
      <c r="F20" s="87">
        <f>IF($L$10=1, IF($K$10="R",VLOOKUP($A20,dichroic!$F$5:$H$1232,3),VLOOKUP($A20,dichroic!$F$5:$H$1232,2)),1)</f>
        <v>1</v>
      </c>
      <c r="G20" s="83">
        <f t="shared" ca="1" si="5"/>
        <v>0.86686945727533726</v>
      </c>
      <c r="H20" s="83">
        <f t="shared" ca="1" si="6"/>
        <v>0.93540055295781388</v>
      </c>
      <c r="I20" s="83">
        <f t="shared" ca="1" si="0"/>
        <v>0.95</v>
      </c>
      <c r="J20" s="89">
        <f t="shared" ca="1" si="1"/>
        <v>0.98</v>
      </c>
      <c r="K20" s="46">
        <f ca="1">VLOOKUP($A20,'SWIR data'!$A$5:$K$795,11)/100</f>
        <v>0.90310402000697521</v>
      </c>
      <c r="L20" s="90">
        <f t="shared" ca="1" si="2"/>
        <v>2.5838408476262216</v>
      </c>
      <c r="N20" s="6">
        <f t="shared" ca="1" si="3"/>
        <v>0.17073170731707138</v>
      </c>
    </row>
    <row r="21" spans="1:14" ht="15">
      <c r="A21" s="79">
        <f t="shared" ca="1" si="4"/>
        <v>1.7450462280212191</v>
      </c>
      <c r="B21" s="83">
        <f ca="1">IF($A21&lt;&gt;"",IF($E$5="pAu",VLOOKUP(A21,pAg!$A$2:$C$47,3),VLOOKUP(A21,pAg!$O$3:$P1211,2)),"")</f>
        <v>0.98191481650909085</v>
      </c>
      <c r="C21" s="83">
        <f ca="1">VLOOKUP(A21,pAg!$A$7:$C$47,3)</f>
        <v>0.99</v>
      </c>
      <c r="D21" s="87">
        <f ca="1">IF($A21&lt;&gt;"",1-VLOOKUP($N21,'AR sim'!$E$10:$F$38,2)*'F184'!$E$10/'AR sim'!$D$42,"")</f>
        <v>0.99771944865360496</v>
      </c>
      <c r="E21" s="88">
        <f ca="1">VLOOKUP($A21,'cycle4 AFTA filters 2'!$A$34:$G$181,'F184'!$I$2)</f>
        <v>0.95</v>
      </c>
      <c r="F21" s="87">
        <f>IF($L$10=1, IF($K$10="R",VLOOKUP($A21,dichroic!$F$5:$H$1232,3),VLOOKUP($A21,dichroic!$F$5:$H$1232,2)),1)</f>
        <v>1</v>
      </c>
      <c r="G21" s="83">
        <f t="shared" ca="1" si="5"/>
        <v>0.86714689209781737</v>
      </c>
      <c r="H21" s="83">
        <f t="shared" ca="1" si="6"/>
        <v>0.93552028852903624</v>
      </c>
      <c r="I21" s="83">
        <f t="shared" ca="1" si="0"/>
        <v>0.95</v>
      </c>
      <c r="J21" s="89">
        <f t="shared" ca="1" si="1"/>
        <v>0.98</v>
      </c>
      <c r="K21" s="46">
        <f ca="1">VLOOKUP($A21,'SWIR data'!$A$5:$K$795,11)/100</f>
        <v>0.90391087170163364</v>
      </c>
      <c r="L21" s="90">
        <f t="shared" ca="1" si="2"/>
        <v>2.5869769811053729</v>
      </c>
      <c r="N21" s="6">
        <f t="shared" ca="1" si="3"/>
        <v>0.19512195121951015</v>
      </c>
    </row>
    <row r="22" spans="1:14" ht="15">
      <c r="A22" s="79">
        <f t="shared" ca="1" si="4"/>
        <v>1.7527720998993639</v>
      </c>
      <c r="B22" s="83">
        <f ca="1">IF($A22&lt;&gt;"",IF($E$5="pAu",VLOOKUP(A22,pAg!$A$2:$C$47,3),VLOOKUP(A22,pAg!$O$3:$P1212,2)),"")</f>
        <v>0.9819998112181817</v>
      </c>
      <c r="C22" s="83">
        <f ca="1">VLOOKUP(A22,pAg!$A$7:$C$47,3)</f>
        <v>0.99</v>
      </c>
      <c r="D22" s="87">
        <f ca="1">IF($A22&lt;&gt;"",1-VLOOKUP($N22,'AR sim'!$E$10:$F$38,2)*'F184'!$E$10/'AR sim'!$D$42,"")</f>
        <v>0.99787148541003134</v>
      </c>
      <c r="E22" s="88">
        <f ca="1">VLOOKUP($A22,'cycle4 AFTA filters 2'!$A$34:$G$181,'F184'!$I$2)</f>
        <v>0.95</v>
      </c>
      <c r="F22" s="87">
        <f>IF($L$10=1, IF($K$10="R",VLOOKUP($A22,dichroic!$F$5:$H$1232,3),VLOOKUP($A22,dichroic!$F$5:$H$1232,2)),1)</f>
        <v>1</v>
      </c>
      <c r="G22" s="83">
        <f t="shared" ca="1" si="5"/>
        <v>0.86752225896858892</v>
      </c>
      <c r="H22" s="83">
        <f t="shared" ca="1" si="6"/>
        <v>0.93568225312070852</v>
      </c>
      <c r="I22" s="83">
        <f t="shared" ca="1" si="0"/>
        <v>0.95</v>
      </c>
      <c r="J22" s="89">
        <f t="shared" ca="1" si="1"/>
        <v>0.98</v>
      </c>
      <c r="K22" s="46">
        <f ca="1">VLOOKUP($A22,'SWIR data'!$A$5:$K$795,11)/100</f>
        <v>0.90443942857574999</v>
      </c>
      <c r="L22" s="90">
        <f t="shared" ca="1" si="2"/>
        <v>2.589610196011221</v>
      </c>
      <c r="N22" s="6">
        <f t="shared" ca="1" si="3"/>
        <v>0.21951219512194892</v>
      </c>
    </row>
    <row r="23" spans="1:14" ht="15">
      <c r="A23" s="79">
        <f t="shared" ca="1" si="4"/>
        <v>1.7604979717775087</v>
      </c>
      <c r="B23" s="83">
        <f ca="1">IF($A23&lt;&gt;"",IF($E$5="pAu",VLOOKUP(A23,pAg!$A$2:$C$47,3),VLOOKUP(A23,pAg!$O$3:$P1213,2)),"")</f>
        <v>0.98206553006363617</v>
      </c>
      <c r="C23" s="83">
        <f ca="1">VLOOKUP(A23,pAg!$A$7:$C$47,3)</f>
        <v>0.99</v>
      </c>
      <c r="D23" s="87">
        <f ca="1">IF($A23&lt;&gt;"",1-VLOOKUP($N23,'AR sim'!$E$10:$F$38,2)*'F184'!$E$10/'AR sim'!$D$42,"")</f>
        <v>0.99787148541003134</v>
      </c>
      <c r="E23" s="88">
        <f ca="1">VLOOKUP($A23,'cycle4 AFTA filters 2'!$A$34:$G$181,'F184'!$I$2)</f>
        <v>0.95</v>
      </c>
      <c r="F23" s="87">
        <f>IF($L$10=1, IF($K$10="R",VLOOKUP($A23,dichroic!$F$5:$H$1232,3),VLOOKUP($A23,dichroic!$F$5:$H$1232,2)),1)</f>
        <v>1</v>
      </c>
      <c r="G23" s="83">
        <f t="shared" ca="1" si="5"/>
        <v>0.86781258587131793</v>
      </c>
      <c r="H23" s="83">
        <f t="shared" ca="1" si="6"/>
        <v>0.93580749553789189</v>
      </c>
      <c r="I23" s="83">
        <f t="shared" ca="1" si="0"/>
        <v>0.95</v>
      </c>
      <c r="J23" s="89">
        <f t="shared" ca="1" si="1"/>
        <v>0.98</v>
      </c>
      <c r="K23" s="46">
        <f ca="1">VLOOKUP($A23,'SWIR data'!$A$5:$K$795,11)/100</f>
        <v>0.90520006189791646</v>
      </c>
      <c r="L23" s="90">
        <f t="shared" ca="1" si="2"/>
        <v>2.5926554309850238</v>
      </c>
      <c r="N23" s="6">
        <f t="shared" ca="1" si="3"/>
        <v>0.24390243902438768</v>
      </c>
    </row>
    <row r="24" spans="1:14" ht="15">
      <c r="A24" s="79">
        <f t="shared" ca="1" si="4"/>
        <v>1.7682238436556534</v>
      </c>
      <c r="B24" s="83">
        <f ca="1">IF($A24&lt;&gt;"",IF($E$5="pAu",VLOOKUP(A24,pAg!$A$2:$C$47,3),VLOOKUP(A24,pAg!$O$3:$P1214,2)),"")</f>
        <v>0.98211129825454546</v>
      </c>
      <c r="C24" s="83">
        <f ca="1">VLOOKUP(A24,pAg!$A$7:$C$47,3)</f>
        <v>0.99</v>
      </c>
      <c r="D24" s="87">
        <f ca="1">IF($A24&lt;&gt;"",1-VLOOKUP($N24,'AR sim'!$E$10:$F$38,2)*'F184'!$E$10/'AR sim'!$D$42,"")</f>
        <v>0.99802352216645762</v>
      </c>
      <c r="E24" s="88">
        <f ca="1">VLOOKUP($A24,'cycle4 AFTA filters 2'!$A$34:$G$181,'F184'!$I$2)</f>
        <v>0.95</v>
      </c>
      <c r="F24" s="87">
        <f>IF($L$10=1, IF($K$10="R",VLOOKUP($A24,dichroic!$F$5:$H$1232,3),VLOOKUP($A24,dichroic!$F$5:$H$1232,2)),1)</f>
        <v>1</v>
      </c>
      <c r="G24" s="83">
        <f t="shared" ca="1" si="5"/>
        <v>0.8680148224487968</v>
      </c>
      <c r="H24" s="83">
        <f t="shared" ca="1" si="6"/>
        <v>0.93589472233249738</v>
      </c>
      <c r="I24" s="83">
        <f t="shared" ca="1" si="0"/>
        <v>0.95</v>
      </c>
      <c r="J24" s="89">
        <f t="shared" ca="1" si="1"/>
        <v>0.98</v>
      </c>
      <c r="K24" s="46">
        <f ca="1">VLOOKUP($A24,'SWIR data'!$A$5:$K$795,11)/100</f>
        <v>0.90569164865140706</v>
      </c>
      <c r="L24" s="90">
        <f t="shared" ca="1" si="2"/>
        <v>2.5946679487918134</v>
      </c>
      <c r="N24" s="6">
        <f t="shared" ca="1" si="3"/>
        <v>0.26829268292682645</v>
      </c>
    </row>
    <row r="25" spans="1:14" ht="15">
      <c r="A25" s="79">
        <f t="shared" ca="1" si="4"/>
        <v>1.7759497155337982</v>
      </c>
      <c r="B25" s="83">
        <f ca="1">IF($A25&lt;&gt;"",IF($E$5="pAu",VLOOKUP(A25,pAg!$A$2:$C$47,3),VLOOKUP(A25,pAg!$O$3:$P1215,2)),"")</f>
        <v>0.98209545152272726</v>
      </c>
      <c r="C25" s="83">
        <f ca="1">VLOOKUP(A25,pAg!$A$7:$C$47,3)</f>
        <v>0.99</v>
      </c>
      <c r="D25" s="87">
        <f ca="1">IF($A25&lt;&gt;"",1-VLOOKUP($N25,'AR sim'!$E$10:$F$38,2)*'F184'!$E$10/'AR sim'!$D$42,"")</f>
        <v>0.99817555892288401</v>
      </c>
      <c r="E25" s="88">
        <f ca="1">VLOOKUP($A25,'cycle4 AFTA filters 2'!$A$34:$G$181,'F184'!$I$2)</f>
        <v>0.95</v>
      </c>
      <c r="F25" s="87">
        <f>IF($L$10=1, IF($K$10="R",VLOOKUP($A25,dichroic!$F$5:$H$1232,3),VLOOKUP($A25,dichroic!$F$5:$H$1232,2)),1)</f>
        <v>1</v>
      </c>
      <c r="G25" s="83">
        <f t="shared" ca="1" si="5"/>
        <v>0.86794479599534557</v>
      </c>
      <c r="H25" s="83">
        <f t="shared" ca="1" si="6"/>
        <v>0.93586452055587521</v>
      </c>
      <c r="I25" s="83">
        <f t="shared" ca="1" si="0"/>
        <v>0.95</v>
      </c>
      <c r="J25" s="89">
        <f t="shared" ca="1" si="1"/>
        <v>0.98</v>
      </c>
      <c r="K25" s="46">
        <f ca="1">VLOOKUP($A25,'SWIR data'!$A$5:$K$795,11)/100</f>
        <v>0.90640571042655027</v>
      </c>
      <c r="L25" s="90">
        <f t="shared" ca="1" si="2"/>
        <v>2.5965041385335601</v>
      </c>
      <c r="N25" s="6">
        <f t="shared" ca="1" si="3"/>
        <v>0.29268292682926522</v>
      </c>
    </row>
    <row r="26" spans="1:14" ht="15">
      <c r="A26" s="79">
        <f t="shared" ca="1" si="4"/>
        <v>1.783675587411943</v>
      </c>
      <c r="B26" s="83">
        <f ca="1">IF($A26&lt;&gt;"",IF($E$5="pAu",VLOOKUP(A26,pAg!$A$2:$C$47,3),VLOOKUP(A26,pAg!$O$3:$P1216,2)),"")</f>
        <v>0.98214076563181818</v>
      </c>
      <c r="C26" s="83">
        <f ca="1">VLOOKUP(A26,pAg!$A$7:$C$47,3)</f>
        <v>0.99</v>
      </c>
      <c r="D26" s="87">
        <f ca="1">IF($A26&lt;&gt;"",1-VLOOKUP($N26,'AR sim'!$E$10:$F$38,2)*'F184'!$E$10/'AR sim'!$D$42,"")</f>
        <v>0.99817555892288401</v>
      </c>
      <c r="E26" s="88">
        <f ca="1">VLOOKUP($A26,'cycle4 AFTA filters 2'!$A$34:$G$181,'F184'!$I$2)</f>
        <v>0.95</v>
      </c>
      <c r="F26" s="87">
        <f>IF($L$10=1, IF($K$10="R",VLOOKUP($A26,dichroic!$F$5:$H$1232,3),VLOOKUP($A26,dichroic!$F$5:$H$1232,2)),1)</f>
        <v>1</v>
      </c>
      <c r="G26" s="83">
        <f t="shared" ca="1" si="5"/>
        <v>0.8681450503325433</v>
      </c>
      <c r="H26" s="83">
        <f t="shared" ca="1" si="6"/>
        <v>0.93595088455494957</v>
      </c>
      <c r="I26" s="83">
        <f t="shared" ca="1" si="0"/>
        <v>0.95</v>
      </c>
      <c r="J26" s="89">
        <f t="shared" ca="1" si="1"/>
        <v>0.98</v>
      </c>
      <c r="K26" s="46">
        <f ca="1">VLOOKUP($A26,'SWIR data'!$A$5:$K$795,11)/100</f>
        <v>0.9068602401322764</v>
      </c>
      <c r="L26" s="90">
        <f t="shared" ca="1" si="2"/>
        <v>2.5984055636912218</v>
      </c>
      <c r="N26" s="6">
        <f t="shared" ca="1" si="3"/>
        <v>0.31707317073170399</v>
      </c>
    </row>
    <row r="27" spans="1:14" ht="15">
      <c r="A27" s="79">
        <f t="shared" ca="1" si="4"/>
        <v>1.7914014592900878</v>
      </c>
      <c r="B27" s="83">
        <f ca="1">IF($A27&lt;&gt;"",IF($E$5="pAu",VLOOKUP(A27,pAg!$A$2:$C$47,3),VLOOKUP(A27,pAg!$O$3:$P1217,2)),"")</f>
        <v>0.98218441809090906</v>
      </c>
      <c r="C27" s="83">
        <f ca="1">VLOOKUP(A27,pAg!$A$7:$C$47,3)</f>
        <v>0.99</v>
      </c>
      <c r="D27" s="87">
        <f ca="1">IF($A27&lt;&gt;"",1-VLOOKUP($N27,'AR sim'!$E$10:$F$38,2)*'F184'!$E$10/'AR sim'!$D$42,"")</f>
        <v>0.99787148541003134</v>
      </c>
      <c r="E27" s="88">
        <f ca="1">VLOOKUP($A27,'cycle4 AFTA filters 2'!$A$34:$G$181,'F184'!$I$2)</f>
        <v>0.95</v>
      </c>
      <c r="F27" s="87">
        <f>IF($L$10=1, IF($K$10="R",VLOOKUP($A27,dichroic!$F$5:$H$1232,3),VLOOKUP($A27,dichroic!$F$5:$H$1232,2)),1)</f>
        <v>1</v>
      </c>
      <c r="G27" s="83">
        <f t="shared" ca="1" si="5"/>
        <v>0.86833799637703513</v>
      </c>
      <c r="H27" s="83">
        <f t="shared" ca="1" si="6"/>
        <v>0.93603408538947119</v>
      </c>
      <c r="I27" s="83">
        <f t="shared" ca="1" si="0"/>
        <v>0.95</v>
      </c>
      <c r="J27" s="89">
        <f t="shared" ca="1" si="1"/>
        <v>0.98</v>
      </c>
      <c r="K27" s="46">
        <f ca="1">VLOOKUP($A27,'SWIR data'!$A$5:$K$795,11)/100</f>
        <v>0.90753673850080285</v>
      </c>
      <c r="L27" s="90">
        <f t="shared" ca="1" si="2"/>
        <v>2.6009218475928728</v>
      </c>
      <c r="N27" s="6">
        <f t="shared" ca="1" si="3"/>
        <v>0.34146341463414276</v>
      </c>
    </row>
    <row r="28" spans="1:14" ht="15">
      <c r="A28" s="79">
        <f t="shared" ca="1" si="4"/>
        <v>1.7991273311682325</v>
      </c>
      <c r="B28" s="83">
        <f ca="1">IF($A28&lt;&gt;"",IF($E$5="pAu",VLOOKUP(A28,pAg!$A$2:$C$47,3),VLOOKUP(A28,pAg!$O$3:$P1218,2)),"")</f>
        <v>0.98218365194090917</v>
      </c>
      <c r="C28" s="83">
        <f ca="1">VLOOKUP(A28,pAg!$A$7:$C$47,3)</f>
        <v>0.99</v>
      </c>
      <c r="D28" s="87">
        <f ca="1">IF($A28&lt;&gt;"",1-VLOOKUP($N28,'AR sim'!$E$10:$F$38,2)*'F184'!$E$10/'AR sim'!$D$42,"")</f>
        <v>0.99756741189717868</v>
      </c>
      <c r="E28" s="88">
        <f ca="1">VLOOKUP($A28,'cycle4 AFTA filters 2'!$A$34:$G$181,'F184'!$I$2)</f>
        <v>0.95</v>
      </c>
      <c r="F28" s="87">
        <f>IF($L$10=1, IF($K$10="R",VLOOKUP($A28,dichroic!$F$5:$H$1232,3),VLOOKUP($A28,dichroic!$F$5:$H$1232,2)),1)</f>
        <v>1</v>
      </c>
      <c r="G28" s="83">
        <f t="shared" ca="1" si="5"/>
        <v>0.86833460966011278</v>
      </c>
      <c r="H28" s="83">
        <f t="shared" ca="1" si="6"/>
        <v>0.9360326250888974</v>
      </c>
      <c r="I28" s="83">
        <f t="shared" ca="1" si="0"/>
        <v>0.95</v>
      </c>
      <c r="J28" s="89">
        <f t="shared" ca="1" si="1"/>
        <v>0.98</v>
      </c>
      <c r="K28" s="46">
        <f ca="1">VLOOKUP($A28,'SWIR data'!$A$5:$K$795,11)/100</f>
        <v>0.90796298779770535</v>
      </c>
      <c r="L28" s="90">
        <f t="shared" ca="1" si="2"/>
        <v>2.6021332922790195</v>
      </c>
      <c r="N28" s="6">
        <f t="shared" ca="1" si="3"/>
        <v>0.36585365853658153</v>
      </c>
    </row>
    <row r="29" spans="1:14" ht="15">
      <c r="A29" s="79">
        <f t="shared" ca="1" si="4"/>
        <v>1.8068532030463773</v>
      </c>
      <c r="B29" s="83">
        <f ca="1">IF($A29&lt;&gt;"",IF($E$5="pAu",VLOOKUP(A29,pAg!$A$2:$C$47,3),VLOOKUP(A29,pAg!$O$3:$P1219,2)),"")</f>
        <v>0.98201839329545448</v>
      </c>
      <c r="C29" s="83">
        <f ca="1">VLOOKUP(A29,pAg!$A$7:$C$47,3)</f>
        <v>0.99</v>
      </c>
      <c r="D29" s="87">
        <f ca="1">IF($A29&lt;&gt;"",1-VLOOKUP($N29,'AR sim'!$E$10:$F$38,2)*'F184'!$E$10/'AR sim'!$D$42,"")</f>
        <v>0.99756741189717868</v>
      </c>
      <c r="E29" s="88">
        <f ca="1">VLOOKUP($A29,'cycle4 AFTA filters 2'!$A$34:$G$181,'F184'!$I$2)</f>
        <v>0.95</v>
      </c>
      <c r="F29" s="87">
        <f>IF($L$10=1, IF($K$10="R",VLOOKUP($A29,dichroic!$F$5:$H$1232,3),VLOOKUP($A29,dichroic!$F$5:$H$1232,2)),1)</f>
        <v>1</v>
      </c>
      <c r="G29" s="83">
        <f t="shared" ca="1" si="5"/>
        <v>0.86760434134559539</v>
      </c>
      <c r="H29" s="83">
        <f t="shared" ca="1" si="6"/>
        <v>0.93571766470477469</v>
      </c>
      <c r="I29" s="83">
        <f t="shared" ca="1" si="0"/>
        <v>0.95</v>
      </c>
      <c r="J29" s="89">
        <f t="shared" ca="1" si="1"/>
        <v>0.98</v>
      </c>
      <c r="K29" s="46">
        <f ca="1">VLOOKUP($A29,'SWIR data'!$A$5:$K$795,11)/100</f>
        <v>0.90837975414780969</v>
      </c>
      <c r="L29" s="90">
        <f t="shared" ca="1" si="2"/>
        <v>2.6011383086312825</v>
      </c>
      <c r="N29" s="6">
        <f t="shared" ca="1" si="3"/>
        <v>0.3902439024390203</v>
      </c>
    </row>
    <row r="30" spans="1:14" ht="15">
      <c r="A30" s="79">
        <f t="shared" ca="1" si="4"/>
        <v>1.8145790749245221</v>
      </c>
      <c r="B30" s="83">
        <f ca="1">IF($A30&lt;&gt;"",IF($E$5="pAu",VLOOKUP(A30,pAg!$A$2:$C$47,3),VLOOKUP(A30,pAg!$O$3:$P1220,2)),"")</f>
        <v>0.98186617910000007</v>
      </c>
      <c r="C30" s="83">
        <f ca="1">VLOOKUP(A30,pAg!$A$7:$C$47,3)</f>
        <v>0.99</v>
      </c>
      <c r="D30" s="87">
        <f ca="1">IF($A30&lt;&gt;"",1-VLOOKUP($N30,'AR sim'!$E$10:$F$38,2)*'F184'!$E$10/'AR sim'!$D$42,"")</f>
        <v>0.99726333838432601</v>
      </c>
      <c r="E30" s="88">
        <f ca="1">VLOOKUP($A30,'cycle4 AFTA filters 2'!$A$34:$G$181,'F184'!$I$2)</f>
        <v>0.95</v>
      </c>
      <c r="F30" s="87">
        <f>IF($L$10=1, IF($K$10="R",VLOOKUP($A30,dichroic!$F$5:$H$1232,3),VLOOKUP($A30,dichroic!$F$5:$H$1232,2)),1)</f>
        <v>1</v>
      </c>
      <c r="G30" s="83">
        <f t="shared" ca="1" si="5"/>
        <v>0.86693215045513139</v>
      </c>
      <c r="H30" s="83">
        <f t="shared" ca="1" si="6"/>
        <v>0.93542761214752479</v>
      </c>
      <c r="I30" s="83">
        <f t="shared" ca="1" si="0"/>
        <v>0.95</v>
      </c>
      <c r="J30" s="89">
        <f t="shared" ca="1" si="1"/>
        <v>0.98</v>
      </c>
      <c r="K30" s="46">
        <f ca="1">VLOOKUP($A30,'SWIR data'!$A$5:$K$795,11)/100</f>
        <v>0.90899057378035775</v>
      </c>
      <c r="L30" s="90">
        <f t="shared" ca="1" si="2"/>
        <v>2.6008707555787138</v>
      </c>
      <c r="N30" s="6">
        <f t="shared" ca="1" si="3"/>
        <v>0.41463414634145906</v>
      </c>
    </row>
    <row r="31" spans="1:14" ht="15">
      <c r="A31" s="79">
        <f t="shared" ca="1" si="4"/>
        <v>1.8223049468026669</v>
      </c>
      <c r="B31" s="83">
        <f ca="1">IF($A31&lt;&gt;"",IF($E$5="pAu",VLOOKUP(A31,pAg!$A$2:$C$47,3),VLOOKUP(A31,pAg!$O$3:$P1221,2)),"")</f>
        <v>0.98187932304999992</v>
      </c>
      <c r="C31" s="83">
        <f ca="1">VLOOKUP(A31,pAg!$A$7:$C$47,3)</f>
        <v>0.99</v>
      </c>
      <c r="D31" s="87">
        <f ca="1">IF($A31&lt;&gt;"",1-VLOOKUP($N31,'AR sim'!$E$10:$F$38,2)*'F184'!$E$10/'AR sim'!$D$42,"")</f>
        <v>0.99695926487147335</v>
      </c>
      <c r="E31" s="88">
        <f ca="1">VLOOKUP($A31,'cycle4 AFTA filters 2'!$A$34:$G$181,'F184'!$I$2)</f>
        <v>0.95</v>
      </c>
      <c r="F31" s="87">
        <f>IF($L$10=1, IF($K$10="R",VLOOKUP($A31,dichroic!$F$5:$H$1232,3),VLOOKUP($A31,dichroic!$F$5:$H$1232,2)),1)</f>
        <v>1</v>
      </c>
      <c r="G31" s="83">
        <f t="shared" ca="1" si="5"/>
        <v>0.86699017882073803</v>
      </c>
      <c r="H31" s="83">
        <f t="shared" ca="1" si="6"/>
        <v>0.93545265689663715</v>
      </c>
      <c r="I31" s="83">
        <f t="shared" ca="1" si="0"/>
        <v>0.95</v>
      </c>
      <c r="J31" s="89">
        <f t="shared" ca="1" si="1"/>
        <v>0.98</v>
      </c>
      <c r="K31" s="46">
        <f ca="1">VLOOKUP($A31,'SWIR data'!$A$5:$K$795,11)/100</f>
        <v>0.90938814276939584</v>
      </c>
      <c r="L31" s="90">
        <f t="shared" ca="1" si="2"/>
        <v>2.6021824754546929</v>
      </c>
      <c r="N31" s="6">
        <f t="shared" ca="1" si="3"/>
        <v>0.43902439024389783</v>
      </c>
    </row>
    <row r="32" spans="1:14" ht="15">
      <c r="A32" s="79">
        <f t="shared" ca="1" si="4"/>
        <v>1.8300308186808116</v>
      </c>
      <c r="B32" s="83">
        <f ca="1">IF($A32&lt;&gt;"",IF($E$5="pAu",VLOOKUP(A32,pAg!$A$2:$C$47,3),VLOOKUP(A32,pAg!$O$3:$P1222,2)),"")</f>
        <v>0.98188466167727284</v>
      </c>
      <c r="C32" s="83">
        <f ca="1">VLOOKUP(A32,pAg!$A$7:$C$47,3)</f>
        <v>0.99</v>
      </c>
      <c r="D32" s="87">
        <f ca="1">IF($A32&lt;&gt;"",1-VLOOKUP($N32,'AR sim'!$E$10:$F$38,2)*'F184'!$E$10/'AR sim'!$D$42,"")</f>
        <v>0.99695926487147335</v>
      </c>
      <c r="E32" s="88">
        <f ca="1">VLOOKUP($A32,'cycle4 AFTA filters 2'!$A$34:$G$181,'F184'!$I$2)</f>
        <v>0.95</v>
      </c>
      <c r="F32" s="87">
        <f>IF($L$10=1, IF($K$10="R",VLOOKUP($A32,dichroic!$F$5:$H$1232,3),VLOOKUP($A32,dichroic!$F$5:$H$1232,2)),1)</f>
        <v>1</v>
      </c>
      <c r="G32" s="83">
        <f t="shared" ca="1" si="5"/>
        <v>0.86701374886462113</v>
      </c>
      <c r="H32" s="83">
        <f t="shared" ca="1" si="6"/>
        <v>0.935462829321142</v>
      </c>
      <c r="I32" s="83">
        <f t="shared" ca="1" si="0"/>
        <v>0.95</v>
      </c>
      <c r="J32" s="89">
        <f t="shared" ca="1" si="1"/>
        <v>0.98</v>
      </c>
      <c r="K32" s="46">
        <f ca="1">VLOOKUP($A32,'SWIR data'!$A$5:$K$795,11)/100</f>
        <v>0.90995170082446175</v>
      </c>
      <c r="L32" s="90">
        <f t="shared" ca="1" si="2"/>
        <v>2.603865864107239</v>
      </c>
      <c r="N32" s="6">
        <f t="shared" ca="1" si="3"/>
        <v>0.4634146341463366</v>
      </c>
    </row>
    <row r="33" spans="1:14" ht="15">
      <c r="A33" s="79">
        <f t="shared" ca="1" si="4"/>
        <v>1.8377566905589564</v>
      </c>
      <c r="B33" s="83">
        <f ca="1">IF($A33&lt;&gt;"",IF($E$5="pAu",VLOOKUP(A33,pAg!$A$2:$C$47,3),VLOOKUP(A33,pAg!$O$3:$P1223,2)),"")</f>
        <v>0.9818954999409093</v>
      </c>
      <c r="C33" s="83">
        <f ca="1">VLOOKUP(A33,pAg!$A$7:$C$47,3)</f>
        <v>0.99</v>
      </c>
      <c r="D33" s="87">
        <f ca="1">IF($A33&lt;&gt;"",1-VLOOKUP($N33,'AR sim'!$E$10:$F$38,2)*'F184'!$E$10/'AR sim'!$D$42,"")</f>
        <v>0.99665519135862068</v>
      </c>
      <c r="E33" s="88">
        <f ca="1">VLOOKUP($A33,'cycle4 AFTA filters 2'!$A$34:$G$181,'F184'!$I$2)</f>
        <v>0.95</v>
      </c>
      <c r="F33" s="87">
        <f>IF($L$10=1, IF($K$10="R",VLOOKUP($A33,dichroic!$F$5:$H$1232,3),VLOOKUP($A33,dichroic!$F$5:$H$1232,2)),1)</f>
        <v>1</v>
      </c>
      <c r="G33" s="83">
        <f t="shared" ca="1" si="5"/>
        <v>0.86706160138440469</v>
      </c>
      <c r="H33" s="83">
        <f t="shared" ca="1" si="6"/>
        <v>0.93548348113315039</v>
      </c>
      <c r="I33" s="83">
        <f t="shared" ca="1" si="0"/>
        <v>0.95</v>
      </c>
      <c r="J33" s="89">
        <f t="shared" ca="1" si="1"/>
        <v>0.98</v>
      </c>
      <c r="K33" s="46">
        <f ca="1">VLOOKUP($A33,'SWIR data'!$A$5:$K$795,11)/100</f>
        <v>0.91032075901783172</v>
      </c>
      <c r="L33" s="90">
        <f t="shared" ca="1" si="2"/>
        <v>2.6050657117183778</v>
      </c>
      <c r="N33" s="6">
        <f t="shared" ca="1" si="3"/>
        <v>0.48780487804877537</v>
      </c>
    </row>
    <row r="34" spans="1:14" ht="15">
      <c r="A34" s="79">
        <f t="shared" ca="1" si="4"/>
        <v>1.8454825624371012</v>
      </c>
      <c r="B34" s="83">
        <f ca="1">IF($A34&lt;&gt;"",IF($E$5="pAu",VLOOKUP(A34,pAg!$A$2:$C$47,3),VLOOKUP(A34,pAg!$O$3:$P1224,2)),"")</f>
        <v>0.9818815219999999</v>
      </c>
      <c r="C34" s="83">
        <f ca="1">VLOOKUP(A34,pAg!$A$7:$C$47,3)</f>
        <v>0.99</v>
      </c>
      <c r="D34" s="87">
        <f ca="1">IF($A34&lt;&gt;"",1-VLOOKUP($N34,'AR sim'!$E$10:$F$38,2)*'F184'!$E$10/'AR sim'!$D$42,"")</f>
        <v>0.99635111784576791</v>
      </c>
      <c r="E34" s="88">
        <f ca="1">VLOOKUP($A34,'cycle4 AFTA filters 2'!$A$34:$G$181,'F184'!$I$2)</f>
        <v>0.95</v>
      </c>
      <c r="F34" s="87">
        <f>IF($L$10=1, IF($K$10="R",VLOOKUP($A34,dichroic!$F$5:$H$1232,3),VLOOKUP($A34,dichroic!$F$5:$H$1232,2)),1)</f>
        <v>1</v>
      </c>
      <c r="G34" s="83">
        <f t="shared" ca="1" si="5"/>
        <v>0.8669998871247433</v>
      </c>
      <c r="H34" s="83">
        <f t="shared" ca="1" si="6"/>
        <v>0.93545684685333541</v>
      </c>
      <c r="I34" s="83">
        <f t="shared" ca="1" si="0"/>
        <v>0.95</v>
      </c>
      <c r="J34" s="89">
        <f t="shared" ca="1" si="1"/>
        <v>0.98</v>
      </c>
      <c r="K34" s="46">
        <f ca="1">VLOOKUP($A34,'SWIR data'!$A$5:$K$795,11)/100</f>
        <v>0.91085523900458443</v>
      </c>
      <c r="L34" s="90">
        <f t="shared" ca="1" si="2"/>
        <v>2.6064097056901385</v>
      </c>
      <c r="N34" s="6">
        <f t="shared" ca="1" si="3"/>
        <v>0.51219512195121408</v>
      </c>
    </row>
    <row r="35" spans="1:14" ht="15">
      <c r="A35" s="79">
        <f t="shared" ca="1" si="4"/>
        <v>1.853208434315246</v>
      </c>
      <c r="B35" s="83">
        <f ca="1">IF($A35&lt;&gt;"",IF($E$5="pAu",VLOOKUP(A35,pAg!$A$2:$C$47,3),VLOOKUP(A35,pAg!$O$3:$P1225,2)),"")</f>
        <v>0.98189047519090922</v>
      </c>
      <c r="C35" s="83">
        <f ca="1">VLOOKUP(A35,pAg!$A$7:$C$47,3)</f>
        <v>0.99</v>
      </c>
      <c r="D35" s="87">
        <f ca="1">IF($A35&lt;&gt;"",1-VLOOKUP($N35,'AR sim'!$E$10:$F$38,2)*'F184'!$E$10/'AR sim'!$D$42,"")</f>
        <v>0.99665519135862068</v>
      </c>
      <c r="E35" s="88">
        <f ca="1">VLOOKUP($A35,'cycle4 AFTA filters 2'!$A$34:$G$181,'F184'!$I$2)</f>
        <v>0.95</v>
      </c>
      <c r="F35" s="87">
        <f>IF($L$10=1, IF($K$10="R",VLOOKUP($A35,dichroic!$F$5:$H$1232,3),VLOOKUP($A35,dichroic!$F$5:$H$1232,2)),1)</f>
        <v>1</v>
      </c>
      <c r="G35" s="83">
        <f t="shared" ca="1" si="5"/>
        <v>0.8670394161152416</v>
      </c>
      <c r="H35" s="83">
        <f t="shared" ca="1" si="6"/>
        <v>0.93547390667518648</v>
      </c>
      <c r="I35" s="83">
        <f t="shared" ca="1" si="0"/>
        <v>0.95</v>
      </c>
      <c r="J35" s="89">
        <f t="shared" ca="1" si="1"/>
        <v>0.98</v>
      </c>
      <c r="K35" s="46">
        <f ca="1">VLOOKUP($A35,'SWIR data'!$A$5:$K$795,11)/100</f>
        <v>0.9111956494830028</v>
      </c>
      <c r="L35" s="90">
        <f t="shared" ca="1" si="2"/>
        <v>2.6075026673591677</v>
      </c>
      <c r="N35" s="6">
        <f t="shared" ca="1" si="3"/>
        <v>0.53658536585365291</v>
      </c>
    </row>
    <row r="36" spans="1:14" ht="15">
      <c r="A36" s="79">
        <f t="shared" ca="1" si="4"/>
        <v>1.8609343061933907</v>
      </c>
      <c r="B36" s="83">
        <f ca="1">IF($A36&lt;&gt;"",IF($E$5="pAu",VLOOKUP(A36,pAg!$A$2:$C$47,3),VLOOKUP(A36,pAg!$O$3:$P1226,2)),"")</f>
        <v>0.9819207286181818</v>
      </c>
      <c r="C36" s="83">
        <f ca="1">VLOOKUP(A36,pAg!$A$7:$C$47,3)</f>
        <v>0.99</v>
      </c>
      <c r="D36" s="87">
        <f ca="1">IF($A36&lt;&gt;"",1-VLOOKUP($N36,'AR sim'!$E$10:$F$38,2)*'F184'!$E$10/'AR sim'!$D$42,"")</f>
        <v>0.99665519135862068</v>
      </c>
      <c r="E36" s="88">
        <f ca="1">VLOOKUP($A36,'cycle4 AFTA filters 2'!$A$34:$G$181,'F184'!$I$2)</f>
        <v>0.95</v>
      </c>
      <c r="F36" s="87">
        <f>IF($L$10=1, IF($K$10="R",VLOOKUP($A36,dichroic!$F$5:$H$1232,3),VLOOKUP($A36,dichroic!$F$5:$H$1232,2)),1)</f>
        <v>1</v>
      </c>
      <c r="G36" s="83">
        <f t="shared" ca="1" si="5"/>
        <v>0.8671729978692827</v>
      </c>
      <c r="H36" s="83">
        <f t="shared" ca="1" si="6"/>
        <v>0.93553155409822886</v>
      </c>
      <c r="I36" s="83">
        <f t="shared" ca="1" si="0"/>
        <v>0.95</v>
      </c>
      <c r="J36" s="89">
        <f t="shared" ca="1" si="1"/>
        <v>0.98</v>
      </c>
      <c r="K36" s="46">
        <f ca="1">VLOOKUP($A36,'SWIR data'!$A$5:$K$795,11)/100</f>
        <v>0.91169156447620547</v>
      </c>
      <c r="L36" s="90">
        <f t="shared" ca="1" si="2"/>
        <v>2.6093237389439086</v>
      </c>
      <c r="N36" s="6">
        <f t="shared" ca="1" si="3"/>
        <v>0.56097560975609162</v>
      </c>
    </row>
    <row r="37" spans="1:14" ht="15">
      <c r="A37" s="79">
        <f t="shared" ca="1" si="4"/>
        <v>1.8686601780715355</v>
      </c>
      <c r="B37" s="83">
        <f ca="1">IF($A37&lt;&gt;"",IF($E$5="pAu",VLOOKUP(A37,pAg!$A$2:$C$47,3),VLOOKUP(A37,pAg!$O$3:$P1227,2)),"")</f>
        <v>0.98200690828181825</v>
      </c>
      <c r="C37" s="83">
        <f ca="1">VLOOKUP(A37,pAg!$A$7:$C$47,3)</f>
        <v>0.99</v>
      </c>
      <c r="D37" s="87">
        <f ca="1">IF($A37&lt;&gt;"",1-VLOOKUP($N37,'AR sim'!$E$10:$F$38,2)*'F184'!$E$10/'AR sim'!$D$42,"")</f>
        <v>0.99695926487147335</v>
      </c>
      <c r="E37" s="88">
        <f ca="1">VLOOKUP($A37,'cycle4 AFTA filters 2'!$A$34:$G$181,'F184'!$I$2)</f>
        <v>0.95</v>
      </c>
      <c r="F37" s="87">
        <f>IF($L$10=1, IF($K$10="R",VLOOKUP($A37,dichroic!$F$5:$H$1232,3),VLOOKUP($A37,dichroic!$F$5:$H$1232,2)),1)</f>
        <v>1</v>
      </c>
      <c r="G37" s="83">
        <f t="shared" ca="1" si="5"/>
        <v>0.86755360800553105</v>
      </c>
      <c r="H37" s="83">
        <f t="shared" ca="1" si="6"/>
        <v>0.9356957778086249</v>
      </c>
      <c r="I37" s="83">
        <f t="shared" ca="1" si="0"/>
        <v>0.95</v>
      </c>
      <c r="J37" s="89">
        <f t="shared" ca="1" si="1"/>
        <v>0.98</v>
      </c>
      <c r="K37" s="46">
        <f ca="1">VLOOKUP($A37,'SWIR data'!$A$5:$K$795,11)/100</f>
        <v>0.91201252076379513</v>
      </c>
      <c r="L37" s="90">
        <f t="shared" ca="1" si="2"/>
        <v>2.6113879969993197</v>
      </c>
      <c r="N37" s="6">
        <f t="shared" ca="1" si="3"/>
        <v>0.58536585365853044</v>
      </c>
    </row>
    <row r="38" spans="1:14" ht="15">
      <c r="A38" s="79">
        <f t="shared" ca="1" si="4"/>
        <v>1.8763860499496803</v>
      </c>
      <c r="B38" s="83">
        <f ca="1">IF($A38&lt;&gt;"",IF($E$5="pAu",VLOOKUP(A38,pAg!$A$2:$C$47,3),VLOOKUP(A38,pAg!$O$3:$P1228,2)),"")</f>
        <v>0.98208318950454521</v>
      </c>
      <c r="C38" s="83">
        <f ca="1">VLOOKUP(A38,pAg!$A$7:$C$47,3)</f>
        <v>0.99</v>
      </c>
      <c r="D38" s="87">
        <f ca="1">IF($A38&lt;&gt;"",1-VLOOKUP($N38,'AR sim'!$E$10:$F$38,2)*'F184'!$E$10/'AR sim'!$D$42,"")</f>
        <v>0.99726333838432601</v>
      </c>
      <c r="E38" s="88">
        <f ca="1">VLOOKUP($A38,'cycle4 AFTA filters 2'!$A$34:$G$181,'F184'!$I$2)</f>
        <v>0.95</v>
      </c>
      <c r="F38" s="87">
        <f>IF($L$10=1, IF($K$10="R",VLOOKUP($A38,dichroic!$F$5:$H$1232,3),VLOOKUP($A38,dichroic!$F$5:$H$1232,2)),1)</f>
        <v>1</v>
      </c>
      <c r="G38" s="83">
        <f t="shared" ca="1" si="5"/>
        <v>0.86789061343552065</v>
      </c>
      <c r="H38" s="83">
        <f t="shared" ca="1" si="6"/>
        <v>0.9358411511041389</v>
      </c>
      <c r="I38" s="83">
        <f t="shared" ca="1" si="0"/>
        <v>0.95</v>
      </c>
      <c r="J38" s="89">
        <f t="shared" ca="1" si="1"/>
        <v>0.98</v>
      </c>
      <c r="K38" s="46">
        <f ca="1">VLOOKUP($A38,'SWIR data'!$A$5:$K$795,11)/100</f>
        <v>0.91232367718103058</v>
      </c>
      <c r="L38" s="90">
        <f t="shared" ca="1" si="2"/>
        <v>2.6132936913546225</v>
      </c>
      <c r="N38" s="6">
        <f t="shared" ca="1" si="3"/>
        <v>0.60975609756096916</v>
      </c>
    </row>
    <row r="39" spans="1:14" ht="15">
      <c r="A39" s="79">
        <f t="shared" ca="1" si="4"/>
        <v>1.8841119218278251</v>
      </c>
      <c r="B39" s="83">
        <f ca="1">IF($A39&lt;&gt;"",IF($E$5="pAu",VLOOKUP(A39,pAg!$A$2:$C$47,3),VLOOKUP(A39,pAg!$O$3:$P1229,2)),"")</f>
        <v>0.98208090824090921</v>
      </c>
      <c r="C39" s="83">
        <f ca="1">VLOOKUP(A39,pAg!$A$7:$C$47,3)</f>
        <v>0.99</v>
      </c>
      <c r="D39" s="87">
        <f ca="1">IF($A39&lt;&gt;"",1-VLOOKUP($N39,'AR sim'!$E$10:$F$38,2)*'F184'!$E$10/'AR sim'!$D$42,"")</f>
        <v>0.99726333838432601</v>
      </c>
      <c r="E39" s="88">
        <f ca="1">VLOOKUP($A39,'cycle4 AFTA filters 2'!$A$34:$G$181,'F184'!$I$2)</f>
        <v>0.95</v>
      </c>
      <c r="F39" s="87">
        <f>IF($L$10=1, IF($K$10="R",VLOOKUP($A39,dichroic!$F$5:$H$1232,3),VLOOKUP($A39,dichroic!$F$5:$H$1232,2)),1)</f>
        <v>1</v>
      </c>
      <c r="G39" s="83">
        <f t="shared" ca="1" si="5"/>
        <v>0.86788053344372607</v>
      </c>
      <c r="H39" s="83">
        <f t="shared" ca="1" si="6"/>
        <v>0.93583680341153952</v>
      </c>
      <c r="I39" s="83">
        <f t="shared" ca="1" si="0"/>
        <v>0.95</v>
      </c>
      <c r="J39" s="89">
        <f t="shared" ca="1" si="1"/>
        <v>0.98</v>
      </c>
      <c r="K39" s="46">
        <f ca="1">VLOOKUP($A39,'SWIR data'!$A$5:$K$795,11)/100</f>
        <v>0.91278022931722402</v>
      </c>
      <c r="L39" s="90">
        <f t="shared" ca="1" si="2"/>
        <v>2.6145710892673435</v>
      </c>
      <c r="N39" s="6">
        <f t="shared" ca="1" si="3"/>
        <v>0.63414634146340798</v>
      </c>
    </row>
    <row r="40" spans="1:14" ht="15">
      <c r="A40" s="79">
        <f t="shared" ca="1" si="4"/>
        <v>1.8918377937059698</v>
      </c>
      <c r="B40" s="83">
        <f ca="1">IF($A40&lt;&gt;"",IF($E$5="pAu",VLOOKUP(A40,pAg!$A$2:$C$47,3),VLOOKUP(A40,pAg!$O$3:$P1230,2)),"")</f>
        <v>0.98203574519090919</v>
      </c>
      <c r="C40" s="83">
        <f ca="1">VLOOKUP(A40,pAg!$A$7:$C$47,3)</f>
        <v>0.99</v>
      </c>
      <c r="D40" s="87">
        <f ca="1">IF($A40&lt;&gt;"",1-VLOOKUP($N40,'AR sim'!$E$10:$F$38,2)*'F184'!$E$10/'AR sim'!$D$42,"")</f>
        <v>0.99756741189717868</v>
      </c>
      <c r="E40" s="88">
        <f ca="1">VLOOKUP($A40,'cycle4 AFTA filters 2'!$A$34:$G$181,'F184'!$I$2)</f>
        <v>0.95</v>
      </c>
      <c r="F40" s="87">
        <f>IF($L$10=1, IF($K$10="R",VLOOKUP($A40,dichroic!$F$5:$H$1232,3),VLOOKUP($A40,dichroic!$F$5:$H$1232,2)),1)</f>
        <v>1</v>
      </c>
      <c r="G40" s="83">
        <f t="shared" ca="1" si="5"/>
        <v>0.86768099526550557</v>
      </c>
      <c r="H40" s="83">
        <f t="shared" ca="1" si="6"/>
        <v>0.93575073255492935</v>
      </c>
      <c r="I40" s="83">
        <f t="shared" ca="1" si="0"/>
        <v>0.95</v>
      </c>
      <c r="J40" s="89">
        <f t="shared" ca="1" si="1"/>
        <v>0.98</v>
      </c>
      <c r="K40" s="46">
        <f ca="1">VLOOKUP($A40,'SWIR data'!$A$5:$K$795,11)/100</f>
        <v>0.91307179123515436</v>
      </c>
      <c r="L40" s="90">
        <f t="shared" ca="1" si="2"/>
        <v>2.6148049209171553</v>
      </c>
      <c r="N40" s="6">
        <f t="shared" ca="1" si="3"/>
        <v>0.65853658536584669</v>
      </c>
    </row>
    <row r="41" spans="1:14" ht="15">
      <c r="A41" s="79">
        <f t="shared" ca="1" si="4"/>
        <v>1.8995636655841146</v>
      </c>
      <c r="B41" s="83">
        <f ca="1">IF($A41&lt;&gt;"",IF($E$5="pAu",VLOOKUP(A41,pAg!$A$2:$C$47,3),VLOOKUP(A41,pAg!$O$3:$P1231,2)),"")</f>
        <v>0.98199866787272738</v>
      </c>
      <c r="C41" s="83">
        <f ca="1">VLOOKUP(A41,pAg!$A$7:$C$47,3)</f>
        <v>0.99</v>
      </c>
      <c r="D41" s="87">
        <f ca="1">IF($A41&lt;&gt;"",1-VLOOKUP($N41,'AR sim'!$E$10:$F$38,2)*'F184'!$E$10/'AR sim'!$D$42,"")</f>
        <v>0.99787148541003134</v>
      </c>
      <c r="E41" s="88">
        <f ca="1">VLOOKUP($A41,'cycle4 AFTA filters 2'!$A$34:$G$181,'F184'!$I$2)</f>
        <v>0.95</v>
      </c>
      <c r="F41" s="87">
        <f>IF($L$10=1, IF($K$10="R",VLOOKUP($A41,dichroic!$F$5:$H$1232,3),VLOOKUP($A41,dichroic!$F$5:$H$1232,2)),1)</f>
        <v>1</v>
      </c>
      <c r="G41" s="83">
        <f t="shared" ca="1" si="5"/>
        <v>0.86751720868593984</v>
      </c>
      <c r="H41" s="83">
        <f t="shared" ca="1" si="6"/>
        <v>0.93568007428642419</v>
      </c>
      <c r="I41" s="83">
        <f t="shared" ca="1" si="0"/>
        <v>0.95</v>
      </c>
      <c r="J41" s="89">
        <f t="shared" ca="1" si="1"/>
        <v>0.98</v>
      </c>
      <c r="K41" s="46">
        <f ca="1">VLOOKUP($A41,'SWIR data'!$A$5:$K$795,11)/100</f>
        <v>0.91348946622177496</v>
      </c>
      <c r="L41" s="90">
        <f t="shared" ca="1" si="2"/>
        <v>2.615507229890941</v>
      </c>
      <c r="N41" s="6">
        <f t="shared" ca="1" si="3"/>
        <v>0.68292682926828552</v>
      </c>
    </row>
    <row r="42" spans="1:14" ht="15">
      <c r="A42" s="79">
        <f t="shared" ca="1" si="4"/>
        <v>1.9072895374622594</v>
      </c>
      <c r="B42" s="83">
        <f ca="1">IF($A42&lt;&gt;"",IF($E$5="pAu",VLOOKUP(A42,pAg!$A$2:$C$47,3),VLOOKUP(A42,pAg!$O$3:$P1232,2)),"")</f>
        <v>0.98202926140909097</v>
      </c>
      <c r="C42" s="83">
        <f ca="1">VLOOKUP(A42,pAg!$A$7:$C$47,3)</f>
        <v>0.99</v>
      </c>
      <c r="D42" s="87">
        <f ca="1">IF($A42&lt;&gt;"",1-VLOOKUP($N42,'AR sim'!$E$10:$F$38,2)*'F184'!$E$10/'AR sim'!$D$42,"")</f>
        <v>0.99787148541003134</v>
      </c>
      <c r="E42" s="88">
        <f ca="1">VLOOKUP($A42,'cycle4 AFTA filters 2'!$A$34:$G$181,'F184'!$I$2)</f>
        <v>0.95</v>
      </c>
      <c r="F42" s="87">
        <f>IF($L$10=1, IF($K$10="R",VLOOKUP($A42,dichroic!$F$5:$H$1232,3),VLOOKUP($A42,dichroic!$F$5:$H$1232,2)),1)</f>
        <v>1</v>
      </c>
      <c r="G42" s="83">
        <f t="shared" ca="1" si="5"/>
        <v>0.86765235180725553</v>
      </c>
      <c r="H42" s="83">
        <f t="shared" ca="1" si="6"/>
        <v>0.93573837621538292</v>
      </c>
      <c r="I42" s="83">
        <f t="shared" ca="1" si="0"/>
        <v>0.95</v>
      </c>
      <c r="J42" s="89">
        <f t="shared" ca="1" si="1"/>
        <v>0.98</v>
      </c>
      <c r="K42" s="46">
        <f ca="1">VLOOKUP($A42,'SWIR data'!$A$5:$K$795,11)/100</f>
        <v>0.91376112608708682</v>
      </c>
      <c r="L42" s="90">
        <f t="shared" ca="1" si="2"/>
        <v>2.6166926164402091</v>
      </c>
      <c r="N42" s="6">
        <f t="shared" ca="1" si="3"/>
        <v>0.70731707317072423</v>
      </c>
    </row>
    <row r="43" spans="1:14" ht="15">
      <c r="A43" s="79">
        <f t="shared" ca="1" si="4"/>
        <v>1.9150154093404042</v>
      </c>
      <c r="B43" s="83">
        <f ca="1">IF($A43&lt;&gt;"",IF($E$5="pAu",VLOOKUP(A43,pAg!$A$2:$C$47,3),VLOOKUP(A43,pAg!$O$3:$P1233,2)),"")</f>
        <v>0.98207447149545457</v>
      </c>
      <c r="C43" s="83">
        <f ca="1">VLOOKUP(A43,pAg!$A$7:$C$47,3)</f>
        <v>0.99</v>
      </c>
      <c r="D43" s="87">
        <f ca="1">IF($A43&lt;&gt;"",1-VLOOKUP($N43,'AR sim'!$E$10:$F$38,2)*'F184'!$E$10/'AR sim'!$D$42,"")</f>
        <v>0.99817555892288401</v>
      </c>
      <c r="E43" s="88">
        <f ca="1">VLOOKUP($A43,'cycle4 AFTA filters 2'!$A$34:$G$181,'F184'!$I$2)</f>
        <v>0.95</v>
      </c>
      <c r="F43" s="87">
        <f>IF($L$10=1, IF($K$10="R",VLOOKUP($A43,dichroic!$F$5:$H$1232,3),VLOOKUP($A43,dichroic!$F$5:$H$1232,2)),1)</f>
        <v>1</v>
      </c>
      <c r="G43" s="83">
        <f t="shared" ca="1" si="5"/>
        <v>0.86785209254438289</v>
      </c>
      <c r="H43" s="83">
        <f t="shared" ca="1" si="6"/>
        <v>0.93582453614618544</v>
      </c>
      <c r="I43" s="83">
        <f t="shared" ca="1" si="0"/>
        <v>0.95</v>
      </c>
      <c r="J43" s="89">
        <f t="shared" ca="1" si="1"/>
        <v>0.98</v>
      </c>
      <c r="K43" s="46">
        <f ca="1">VLOOKUP($A43,'SWIR data'!$A$5:$K$795,11)/100</f>
        <v>0.91414912043981322</v>
      </c>
      <c r="L43" s="90">
        <f t="shared" ca="1" si="2"/>
        <v>2.6184063367402768</v>
      </c>
      <c r="N43" s="6">
        <f t="shared" ca="1" si="3"/>
        <v>0.73170731707316305</v>
      </c>
    </row>
    <row r="44" spans="1:14" ht="15">
      <c r="A44" s="79">
        <f t="shared" ca="1" si="4"/>
        <v>1.9227412812185489</v>
      </c>
      <c r="B44" s="83">
        <f ca="1">IF($A44&lt;&gt;"",IF($E$5="pAu",VLOOKUP(A44,pAg!$A$2:$C$47,3),VLOOKUP(A44,pAg!$O$3:$P1234,2)),"")</f>
        <v>0.98215327639999983</v>
      </c>
      <c r="C44" s="83">
        <f ca="1">VLOOKUP(A44,pAg!$A$7:$C$47,3)</f>
        <v>0.99</v>
      </c>
      <c r="D44" s="87">
        <f ca="1">IF($A44&lt;&gt;"",1-VLOOKUP($N44,'AR sim'!$E$10:$F$38,2)*'F184'!$E$10/'AR sim'!$D$42,"")</f>
        <v>0.99802352216645762</v>
      </c>
      <c r="E44" s="88">
        <f ca="1">VLOOKUP($A44,'cycle4 AFTA filters 2'!$A$34:$G$181,'F184'!$I$2)</f>
        <v>0.95</v>
      </c>
      <c r="F44" s="87">
        <f>IF($L$10=1, IF($K$10="R",VLOOKUP($A44,dichroic!$F$5:$H$1232,3),VLOOKUP($A44,dichroic!$F$5:$H$1232,2)),1)</f>
        <v>1</v>
      </c>
      <c r="G44" s="83">
        <f t="shared" ca="1" si="5"/>
        <v>0.86820034504467125</v>
      </c>
      <c r="H44" s="83">
        <f t="shared" ca="1" si="6"/>
        <v>0.93597472948540139</v>
      </c>
      <c r="I44" s="83">
        <f t="shared" ca="1" si="0"/>
        <v>0.95</v>
      </c>
      <c r="J44" s="89">
        <f t="shared" ca="1" si="1"/>
        <v>0.98</v>
      </c>
      <c r="K44" s="46">
        <f ca="1">VLOOKUP($A44,'SWIR data'!$A$5:$K$795,11)/100</f>
        <v>0.91440088205169945</v>
      </c>
      <c r="L44" s="90">
        <f t="shared" ca="1" si="2"/>
        <v>2.6201784659264065</v>
      </c>
      <c r="N44" s="6">
        <f t="shared" ca="1" si="3"/>
        <v>0.75609756097560177</v>
      </c>
    </row>
    <row r="45" spans="1:14" ht="15">
      <c r="A45" s="79">
        <f t="shared" ca="1" si="4"/>
        <v>1.9304671530966937</v>
      </c>
      <c r="B45" s="83">
        <f ca="1">IF($A45&lt;&gt;"",IF($E$5="pAu",VLOOKUP(A45,pAg!$A$2:$C$47,3),VLOOKUP(A45,pAg!$O$3:$P1213,2)),"")</f>
        <v>0.98219135233636368</v>
      </c>
      <c r="C45" s="83">
        <f ca="1">VLOOKUP(A45,pAg!$A$7:$C$47,3)</f>
        <v>0.99</v>
      </c>
      <c r="D45" s="87">
        <f ca="1">IF($A45&lt;&gt;"",1-VLOOKUP($N45,'AR sim'!$E$10:$F$38,2)*'F184'!$E$10/'AR sim'!$D$42,"")</f>
        <v>0.99802352216645762</v>
      </c>
      <c r="E45" s="88">
        <f ca="1">VLOOKUP($A45,'cycle4 AFTA filters 2'!$A$34:$G$181,'F184'!$I$2)</f>
        <v>0.95</v>
      </c>
      <c r="F45" s="87">
        <f>IF($L$10=1, IF($K$10="R",VLOOKUP($A45,dichroic!$F$5:$H$1232,3),VLOOKUP($A45,dichroic!$F$5:$H$1232,2)),1)</f>
        <v>1</v>
      </c>
      <c r="G45" s="83">
        <f t="shared" ca="1" si="5"/>
        <v>0.86836864924484058</v>
      </c>
      <c r="H45" s="83">
        <f t="shared" ca="1" si="6"/>
        <v>0.9360473022821334</v>
      </c>
      <c r="I45" s="83">
        <f t="shared" ca="1" si="0"/>
        <v>0.95</v>
      </c>
      <c r="J45" s="89">
        <f t="shared" ca="1" si="1"/>
        <v>0.98</v>
      </c>
      <c r="K45" s="46">
        <f ca="1">VLOOKUP($A45,'SWIR data'!$A$5:$K$795,11)/100</f>
        <v>0.91476824786537447</v>
      </c>
      <c r="L45" s="90">
        <f t="shared" ca="1" si="2"/>
        <v>2.6217392741095757</v>
      </c>
      <c r="N45" s="6">
        <f t="shared" ca="1" si="3"/>
        <v>0.78048780487804059</v>
      </c>
    </row>
    <row r="46" spans="1:14" ht="15">
      <c r="A46" s="79">
        <f t="shared" ca="1" si="4"/>
        <v>1.9381930249748385</v>
      </c>
      <c r="B46" s="83">
        <f ca="1">IF($A46&lt;&gt;"",IF($E$5="pAu",VLOOKUP(A46,pAg!$A$2:$C$47,3),VLOOKUP(A46,pAg!$O$3:$P1214,2)),"")</f>
        <v>0.98238571111363637</v>
      </c>
      <c r="C46" s="83">
        <f ca="1">VLOOKUP(A46,pAg!$A$7:$C$47,3)</f>
        <v>0.99</v>
      </c>
      <c r="D46" s="87">
        <f ca="1">IF($A46&lt;&gt;"",1-VLOOKUP($N46,'AR sim'!$E$10:$F$38,2)*'F184'!$E$10/'AR sim'!$D$42,"")</f>
        <v>0.99787148541003134</v>
      </c>
      <c r="E46" s="88">
        <f ca="1">VLOOKUP($A46,'cycle4 AFTA filters 2'!$A$34:$G$181,'F184'!$I$2)</f>
        <v>0.95</v>
      </c>
      <c r="F46" s="87">
        <f>IF($L$10=1, IF($K$10="R",VLOOKUP($A46,dichroic!$F$5:$H$1232,3),VLOOKUP($A46,dichroic!$F$5:$H$1232,2)),1)</f>
        <v>1</v>
      </c>
      <c r="G46" s="83">
        <f t="shared" ca="1" si="5"/>
        <v>0.86922816545353909</v>
      </c>
      <c r="H46" s="83">
        <f t="shared" ca="1" si="6"/>
        <v>0.9364177942621722</v>
      </c>
      <c r="I46" s="83">
        <f t="shared" ca="1" si="0"/>
        <v>0.95</v>
      </c>
      <c r="J46" s="89">
        <f t="shared" ca="1" si="1"/>
        <v>0.98</v>
      </c>
      <c r="K46" s="46">
        <f ca="1">VLOOKUP($A46,'SWIR data'!$A$5:$K$795,11)/100</f>
        <v>0.91500001994431301</v>
      </c>
      <c r="L46" s="90">
        <f t="shared" ca="1" si="2"/>
        <v>2.6249992061793761</v>
      </c>
      <c r="N46" s="6">
        <f t="shared" ca="1" si="3"/>
        <v>0.8048780487804793</v>
      </c>
    </row>
    <row r="47" spans="1:14" ht="15">
      <c r="A47" s="79">
        <f t="shared" ca="1" si="4"/>
        <v>1.9459188968529832</v>
      </c>
      <c r="B47" s="83">
        <f ca="1">IF($A47&lt;&gt;"",IF($E$5="pAu",VLOOKUP(A47,pAg!$A$2:$C$47,3),VLOOKUP(A47,pAg!$O$3:$P1215,2)),"")</f>
        <v>0.98258527012272723</v>
      </c>
      <c r="C47" s="83">
        <f ca="1">VLOOKUP(A47,pAg!$A$7:$C$47,3)</f>
        <v>0.99</v>
      </c>
      <c r="D47" s="87">
        <f ca="1">IF($A47&lt;&gt;"",1-VLOOKUP($N47,'AR sim'!$E$10:$F$38,2)*'F184'!$E$10/'AR sim'!$D$42,"")</f>
        <v>0.99771944865360496</v>
      </c>
      <c r="E47" s="88">
        <f ca="1">VLOOKUP($A47,'cycle4 AFTA filters 2'!$A$34:$G$181,'F184'!$I$2)</f>
        <v>0.95</v>
      </c>
      <c r="F47" s="87">
        <f>IF($L$10=1, IF($K$10="R",VLOOKUP($A47,dichroic!$F$5:$H$1232,3),VLOOKUP($A47,dichroic!$F$5:$H$1232,2)),1)</f>
        <v>1</v>
      </c>
      <c r="G47" s="83">
        <f t="shared" ca="1" si="5"/>
        <v>0.87011138676364319</v>
      </c>
      <c r="H47" s="83">
        <f t="shared" ca="1" si="6"/>
        <v>0.93679827534039373</v>
      </c>
      <c r="I47" s="83">
        <f t="shared" ca="1" si="0"/>
        <v>0.95</v>
      </c>
      <c r="J47" s="89">
        <f t="shared" ca="1" si="1"/>
        <v>0.98</v>
      </c>
      <c r="K47" s="46">
        <f ca="1">VLOOKUP($A47,'SWIR data'!$A$5:$K$795,11)/100</f>
        <v>0.91523121827920439</v>
      </c>
      <c r="L47" s="90">
        <f t="shared" ca="1" si="2"/>
        <v>2.6283304112057237</v>
      </c>
      <c r="N47" s="6">
        <f t="shared" ca="1" si="3"/>
        <v>0.82926829268291813</v>
      </c>
    </row>
    <row r="48" spans="1:14" ht="15">
      <c r="A48" s="79">
        <f t="shared" ca="1" si="4"/>
        <v>1.953644768731128</v>
      </c>
      <c r="B48" s="83">
        <f ca="1">IF($A48&lt;&gt;"",IF($E$5="pAu",VLOOKUP(A48,pAg!$A$2:$C$47,3),VLOOKUP(A48,pAg!$O$3:$P1216,2)),"")</f>
        <v>0.98286393796363658</v>
      </c>
      <c r="C48" s="83">
        <f ca="1">VLOOKUP(A48,pAg!$A$7:$C$47,3)</f>
        <v>0.99</v>
      </c>
      <c r="D48" s="87">
        <f ca="1">IF($A48&lt;&gt;"",1-VLOOKUP($N48,'AR sim'!$E$10:$F$38,2)*'F184'!$E$10/'AR sim'!$D$42,"")</f>
        <v>0.99771944865360496</v>
      </c>
      <c r="E48" s="88">
        <f ca="1">VLOOKUP($A48,'cycle4 AFTA filters 2'!$A$34:$G$181,'F184'!$I$2)</f>
        <v>0.95</v>
      </c>
      <c r="F48" s="87">
        <f>IF($L$10=1, IF($K$10="R",VLOOKUP($A48,dichroic!$F$5:$H$1232,3),VLOOKUP($A48,dichroic!$F$5:$H$1232,2)),1)</f>
        <v>1</v>
      </c>
      <c r="G48" s="83">
        <f t="shared" ca="1" si="5"/>
        <v>0.87134593424429152</v>
      </c>
      <c r="H48" s="83">
        <f t="shared" ca="1" si="6"/>
        <v>0.93732971536754983</v>
      </c>
      <c r="I48" s="83">
        <f t="shared" ca="1" si="0"/>
        <v>0.95</v>
      </c>
      <c r="J48" s="89">
        <f t="shared" ca="1" si="1"/>
        <v>0.98</v>
      </c>
      <c r="K48" s="46">
        <f ca="1">VLOOKUP($A48,'SWIR data'!$A$5:$K$795,11)/100</f>
        <v>0.91555834416418491</v>
      </c>
      <c r="L48" s="90">
        <f t="shared" ca="1" si="2"/>
        <v>2.6330003494972152</v>
      </c>
      <c r="N48" s="6">
        <f t="shared" ca="1" si="3"/>
        <v>0.85365853658535684</v>
      </c>
    </row>
    <row r="49" spans="1:14" ht="15">
      <c r="A49" s="79">
        <f t="shared" ca="1" si="4"/>
        <v>1.9613706406092728</v>
      </c>
      <c r="B49" s="83">
        <f ca="1">IF($A49&lt;&gt;"",IF($E$5="pAu",VLOOKUP(A49,pAg!$A$2:$C$47,3),VLOOKUP(A49,pAg!$O$3:$P1217,2)),"")</f>
        <v>0.98300162606363639</v>
      </c>
      <c r="C49" s="83">
        <f ca="1">VLOOKUP(A49,pAg!$A$7:$C$47,3)</f>
        <v>0.99</v>
      </c>
      <c r="D49" s="87">
        <f ca="1">IF($A49&lt;&gt;"",1-VLOOKUP($N49,'AR sim'!$E$10:$F$38,2)*'F184'!$E$10/'AR sim'!$D$42,"")</f>
        <v>0.99756741189717868</v>
      </c>
      <c r="E49" s="88">
        <f ca="1">VLOOKUP($A49,'cycle4 AFTA filters 2'!$A$34:$G$181,'F184'!$I$2)</f>
        <v>0.94333333333332137</v>
      </c>
      <c r="F49" s="87">
        <f>IF($L$10=1, IF($K$10="R",VLOOKUP($A49,dichroic!$F$5:$H$1232,3),VLOOKUP($A49,dichroic!$F$5:$H$1232,2)),1)</f>
        <v>1</v>
      </c>
      <c r="G49" s="83">
        <f t="shared" ca="1" si="5"/>
        <v>0.86583744120801143</v>
      </c>
      <c r="H49" s="83">
        <f t="shared" ca="1" si="6"/>
        <v>0.93759235230529681</v>
      </c>
      <c r="I49" s="83">
        <f t="shared" ca="1" si="0"/>
        <v>0.94333333333332137</v>
      </c>
      <c r="J49" s="89">
        <f t="shared" ca="1" si="1"/>
        <v>0.98</v>
      </c>
      <c r="K49" s="46">
        <f ca="1">VLOOKUP($A49,'SWIR data'!$A$5:$K$795,11)/100</f>
        <v>0.91576943560733137</v>
      </c>
      <c r="L49" s="90">
        <f t="shared" ca="1" si="2"/>
        <v>2.61695822025851</v>
      </c>
      <c r="N49" s="6">
        <f t="shared" ca="1" si="3"/>
        <v>0.87804878048779567</v>
      </c>
    </row>
    <row r="50" spans="1:14" ht="15">
      <c r="A50" s="79">
        <f t="shared" ca="1" si="4"/>
        <v>1.9690965124874176</v>
      </c>
      <c r="B50" s="83">
        <f ca="1">IF($A50&lt;&gt;"",IF($E$5="pAu",VLOOKUP(A50,pAg!$A$2:$C$47,3),VLOOKUP(A50,pAg!$O$3:$P1218,2)),"")</f>
        <v>0.98306611653636378</v>
      </c>
      <c r="C50" s="83">
        <f ca="1">VLOOKUP(A50,pAg!$A$7:$C$47,3)</f>
        <v>0.99</v>
      </c>
      <c r="D50" s="87">
        <f ca="1">IF($A50&lt;&gt;"",1-VLOOKUP($N50,'AR sim'!$E$10:$F$38,2)*'F184'!$E$10/'AR sim'!$D$42,"")</f>
        <v>0.99665519135862068</v>
      </c>
      <c r="E50" s="88">
        <f ca="1">VLOOKUP($A50,'cycle4 AFTA filters 2'!$A$34:$G$181,'F184'!$I$2)</f>
        <v>0.94333333333332137</v>
      </c>
      <c r="F50" s="87">
        <f>IF($L$10=1, IF($K$10="R",VLOOKUP($A50,dichroic!$F$5:$H$1232,3),VLOOKUP($A50,dichroic!$F$5:$H$1232,2)),1)</f>
        <v>1</v>
      </c>
      <c r="G50" s="83">
        <f t="shared" ca="1" si="5"/>
        <v>0.86612149767089708</v>
      </c>
      <c r="H50" s="83">
        <f t="shared" ca="1" si="6"/>
        <v>0.9377153790752859</v>
      </c>
      <c r="I50" s="83">
        <f t="shared" ca="1" si="0"/>
        <v>0.94333333333332137</v>
      </c>
      <c r="J50" s="89">
        <f t="shared" ca="1" si="1"/>
        <v>0.98</v>
      </c>
      <c r="K50" s="46">
        <f ca="1">VLOOKUP($A50,'SWIR data'!$A$5:$K$795,11)/100</f>
        <v>0.91607555806728935</v>
      </c>
      <c r="L50" s="90">
        <f t="shared" ca="1" si="2"/>
        <v>2.618691850371444</v>
      </c>
      <c r="N50" s="6">
        <f t="shared" ca="1" si="3"/>
        <v>0.90243902439023438</v>
      </c>
    </row>
    <row r="51" spans="1:14" ht="15">
      <c r="A51" s="79">
        <f t="shared" ca="1" si="4"/>
        <v>1.9768223843655623</v>
      </c>
      <c r="B51" s="83">
        <f ca="1">IF($A51&lt;&gt;"",IF($E$5="pAu",VLOOKUP(A51,pAg!$A$2:$C$47,3),VLOOKUP(A51,pAg!$O$3:$P1219,2)),"")</f>
        <v>0.9831261512181817</v>
      </c>
      <c r="C51" s="83">
        <f ca="1">VLOOKUP(A51,pAg!$A$7:$C$47,3)</f>
        <v>0.99</v>
      </c>
      <c r="D51" s="87">
        <f ca="1">IF($A51&lt;&gt;"",1-VLOOKUP($N51,'AR sim'!$E$10:$F$38,2)*'F184'!$E$10/'AR sim'!$D$42,"")</f>
        <v>0.99665519135862068</v>
      </c>
      <c r="E51" s="88">
        <f ca="1">VLOOKUP($A51,'cycle4 AFTA filters 2'!$A$34:$G$181,'F184'!$I$2)</f>
        <v>0.83249999999998803</v>
      </c>
      <c r="F51" s="87">
        <f>IF($L$10=1, IF($K$10="R",VLOOKUP($A51,dichroic!$F$5:$H$1232,3),VLOOKUP($A51,dichroic!$F$5:$H$1232,2)),1)</f>
        <v>1</v>
      </c>
      <c r="G51" s="83">
        <f t="shared" ca="1" si="5"/>
        <v>0.76459329420686284</v>
      </c>
      <c r="H51" s="83">
        <f t="shared" ca="1" si="6"/>
        <v>0.93782991290453621</v>
      </c>
      <c r="I51" s="83">
        <f t="shared" ca="1" si="0"/>
        <v>0.83249999999998803</v>
      </c>
      <c r="J51" s="89">
        <f t="shared" ca="1" si="1"/>
        <v>0.98</v>
      </c>
      <c r="K51" s="46">
        <f ca="1">VLOOKUP($A51,'SWIR data'!$A$5:$K$795,11)/100</f>
        <v>0.91627589841717683</v>
      </c>
      <c r="L51" s="90">
        <f t="shared" ca="1" si="2"/>
        <v>2.3122299938889959</v>
      </c>
      <c r="N51" s="6">
        <f t="shared" ca="1" si="3"/>
        <v>0.9268292682926732</v>
      </c>
    </row>
    <row r="52" spans="1:14" ht="15">
      <c r="A52" s="79">
        <f t="shared" ca="1" si="4"/>
        <v>1.9845482562437071</v>
      </c>
      <c r="B52" s="83">
        <f ca="1">IF($A52&lt;&gt;"",IF($E$5="pAu",VLOOKUP(A52,pAg!$A$2:$C$47,3),VLOOKUP(A52,pAg!$O$3:$P1220,2)),"")</f>
        <v>0.98312502415454528</v>
      </c>
      <c r="C52" s="83">
        <f ca="1">VLOOKUP(A52,pAg!$A$7:$C$47,3)</f>
        <v>0.99</v>
      </c>
      <c r="D52" s="87">
        <f ca="1">IF($A52&lt;&gt;"",1-VLOOKUP($N52,'AR sim'!$E$10:$F$38,2)*'F184'!$E$10/'AR sim'!$D$42,"")</f>
        <v>0.99574297082006269</v>
      </c>
      <c r="E52" s="88">
        <f ca="1">VLOOKUP($A52,'cycle4 AFTA filters 2'!$A$34:$G$181,'F184'!$I$2)</f>
        <v>0.72166666666665447</v>
      </c>
      <c r="F52" s="87">
        <f>IF($L$10=1, IF($K$10="R",VLOOKUP($A52,dichroic!$F$5:$H$1232,3),VLOOKUP($A52,dichroic!$F$5:$H$1232,2)),1)</f>
        <v>1</v>
      </c>
      <c r="G52" s="83">
        <f t="shared" ca="1" si="5"/>
        <v>0.66279679418587856</v>
      </c>
      <c r="H52" s="83">
        <f t="shared" ca="1" si="6"/>
        <v>0.93782776263443146</v>
      </c>
      <c r="I52" s="83">
        <f t="shared" ca="1" si="0"/>
        <v>0.72166666666665447</v>
      </c>
      <c r="J52" s="89">
        <f t="shared" ca="1" si="1"/>
        <v>0.98</v>
      </c>
      <c r="K52" s="46">
        <f ca="1">VLOOKUP($A52,'SWIR data'!$A$5:$K$795,11)/100</f>
        <v>0.91655166826306878</v>
      </c>
      <c r="L52" s="90">
        <f t="shared" ca="1" si="2"/>
        <v>2.0049873367628348</v>
      </c>
      <c r="N52" s="6">
        <f t="shared" ca="1" si="3"/>
        <v>0.95121951219511192</v>
      </c>
    </row>
    <row r="53" spans="1:14" ht="15">
      <c r="A53" s="79">
        <f t="shared" ca="1" si="4"/>
        <v>1.9922741281218519</v>
      </c>
      <c r="B53" s="83">
        <f ca="1">IF($A53&lt;&gt;"",IF($E$5="pAu",VLOOKUP(A53,pAg!$A$2:$C$47,3),VLOOKUP(A53,pAg!$O$3:$P1221,2)),"")</f>
        <v>0.98314102737272735</v>
      </c>
      <c r="C53" s="83">
        <f ca="1">VLOOKUP(A53,pAg!$A$7:$C$47,3)</f>
        <v>0.99</v>
      </c>
      <c r="D53" s="87">
        <f ca="1">IF($A53&lt;&gt;"",1-VLOOKUP($N53,'AR sim'!$E$10:$F$38,2)*'F184'!$E$10/'AR sim'!$D$42,"")</f>
        <v>0.99483075028150458</v>
      </c>
      <c r="E53" s="88">
        <f ca="1">VLOOKUP($A53,'cycle4 AFTA filters 2'!$A$34:$G$181,'F184'!$I$2)</f>
        <v>0.61083333333332113</v>
      </c>
      <c r="F53" s="87">
        <f>IF($L$10=1, IF($K$10="R",VLOOKUP($A53,dichroic!$F$5:$H$1232,3),VLOOKUP($A53,dichroic!$F$5:$H$1232,2)),1)</f>
        <v>1</v>
      </c>
      <c r="G53" s="83">
        <f t="shared" ca="1" si="5"/>
        <v>0.56105033823164385</v>
      </c>
      <c r="H53" s="83">
        <f t="shared" ca="1" si="6"/>
        <v>0.93785829463002801</v>
      </c>
      <c r="I53" s="83">
        <f t="shared" ca="1" si="0"/>
        <v>0.61083333333332113</v>
      </c>
      <c r="J53" s="89">
        <f t="shared" ca="1" si="1"/>
        <v>0.98</v>
      </c>
      <c r="K53" s="46">
        <f ca="1">VLOOKUP($A53,'SWIR data'!$A$5:$K$795,11)/100</f>
        <v>0.91674099680317966</v>
      </c>
      <c r="L53" s="90">
        <f t="shared" ca="1" si="2"/>
        <v>1.697550741522029</v>
      </c>
      <c r="N53" s="6">
        <f t="shared" ca="1" si="3"/>
        <v>0.97560975609755074</v>
      </c>
    </row>
    <row r="54" spans="1:14" ht="15">
      <c r="A54" s="79">
        <f t="shared" ca="1" si="4"/>
        <v>1.9999999999999967</v>
      </c>
      <c r="B54" s="83">
        <f ca="1">IF($A54&lt;&gt;"",IF($E$5="pAu",VLOOKUP(A54,pAg!$A$2:$C$47,3),VLOOKUP(A54,pAg!$O$3:$P1222,2)),"")</f>
        <v>0.98313825222727269</v>
      </c>
      <c r="C54" s="83">
        <f ca="1">VLOOKUP(A54,pAg!$A$7:$C$47,3)</f>
        <v>0.99</v>
      </c>
      <c r="D54" s="87">
        <f ca="1">IF($A54&lt;&gt;"",1-VLOOKUP($N54,'AR sim'!$E$10:$F$38,2)*'F184'!$E$10/'AR sim'!$D$42,"")</f>
        <v>0.99483075028150458</v>
      </c>
      <c r="E54" s="88">
        <f t="shared" ref="E54" ca="1" si="7">E53</f>
        <v>0.61083333333332113</v>
      </c>
      <c r="F54" s="87">
        <f>IF($L$10=1, IF($K$10="R",VLOOKUP($A54,dichroic!$F$5:$H$1232,3),VLOOKUP($A54,dichroic!$F$5:$H$1232,2)),1)</f>
        <v>1</v>
      </c>
      <c r="G54" s="83">
        <f t="shared" ca="1" si="5"/>
        <v>0.5610424197974484</v>
      </c>
      <c r="H54" s="83">
        <f t="shared" ca="1" si="6"/>
        <v>0.93785299998879623</v>
      </c>
      <c r="I54" s="83">
        <f t="shared" ca="1" si="0"/>
        <v>0.61083333333332113</v>
      </c>
      <c r="J54" s="89">
        <f t="shared" ca="1" si="1"/>
        <v>0.98</v>
      </c>
      <c r="K54" s="46">
        <f ca="1">VLOOKUP($A54,'SWIR data'!$A$5:$K$795,11)/100</f>
        <v>0.91692033058711775</v>
      </c>
      <c r="L54" s="90">
        <f t="shared" ca="1" si="2"/>
        <v>1.6978588548622067</v>
      </c>
      <c r="N54" s="6">
        <f t="shared" ca="1" si="3"/>
        <v>0.99999999999998945</v>
      </c>
    </row>
    <row r="55" spans="1:14" ht="19.5" customHeight="1">
      <c r="A55" s="80" t="s">
        <v>335</v>
      </c>
      <c r="B55" s="81">
        <f ca="1">AVERAGE(B13:B54)</f>
        <v>0.98215044805865781</v>
      </c>
      <c r="C55" s="81"/>
      <c r="D55" s="81">
        <f t="shared" ref="D55:E55" ca="1" si="8">AVERAGE(D13:D54)</f>
        <v>0.99678550857841453</v>
      </c>
      <c r="E55" s="81">
        <f t="shared" ca="1" si="8"/>
        <v>0.88859629117892425</v>
      </c>
      <c r="F55" s="81"/>
      <c r="G55" s="81">
        <f t="shared" ref="G55:L55" ca="1" si="9">AVERAGE(G13:G54)</f>
        <v>0.81206568866967943</v>
      </c>
      <c r="H55" s="81">
        <f t="shared" ca="1" si="9"/>
        <v>0.93596954461110637</v>
      </c>
      <c r="I55" s="81">
        <f t="shared" ca="1" si="9"/>
        <v>0.88859629117892425</v>
      </c>
      <c r="J55" s="81">
        <f t="shared" ca="1" si="9"/>
        <v>0.97999999999999954</v>
      </c>
      <c r="K55" s="81">
        <f t="shared" ca="1" si="9"/>
        <v>0.90950413488553494</v>
      </c>
      <c r="L55" s="81">
        <f t="shared" ca="1" si="9"/>
        <v>2.438281598897968</v>
      </c>
      <c r="N55" s="6"/>
    </row>
    <row r="56" spans="1:14" ht="15">
      <c r="A56" s="82" t="s">
        <v>370</v>
      </c>
      <c r="B56" s="83">
        <f ca="1">STDEV(B13:B54)</f>
        <v>4.6616673873124632E-4</v>
      </c>
      <c r="C56" s="83"/>
      <c r="D56" s="83">
        <f t="shared" ref="D56:E56" ca="1" si="10">STDEV(D13:D54)</f>
        <v>1.6186378029684229E-3</v>
      </c>
      <c r="E56" s="83">
        <f t="shared" ca="1" si="10"/>
        <v>0.13095702984074431</v>
      </c>
      <c r="F56" s="83"/>
      <c r="G56" s="83">
        <f t="shared" ref="G56:L56" ca="1" si="11">STDEV(G13:G54)</f>
        <v>0.11956712286373734</v>
      </c>
      <c r="H56" s="83">
        <f t="shared" ca="1" si="11"/>
        <v>8.8871434035979165E-4</v>
      </c>
      <c r="I56" s="83">
        <f t="shared" ca="1" si="11"/>
        <v>0.13095702984074431</v>
      </c>
      <c r="J56" s="83">
        <f t="shared" ca="1" si="11"/>
        <v>2.9436635871219325E-8</v>
      </c>
      <c r="K56" s="83">
        <f t="shared" ca="1" si="11"/>
        <v>5.6305858386219458E-3</v>
      </c>
      <c r="L56" s="83">
        <f t="shared" ca="1" si="11"/>
        <v>0.36195775932174873</v>
      </c>
      <c r="N56" s="6"/>
    </row>
    <row r="57" spans="1:14" ht="15">
      <c r="A57" s="82" t="s">
        <v>336</v>
      </c>
      <c r="B57" s="83">
        <f ca="1">MIN(B13:B54)</f>
        <v>0.98145122610909086</v>
      </c>
      <c r="C57" s="83"/>
      <c r="D57" s="83">
        <f t="shared" ref="D57:E57" ca="1" si="12">MIN(D13:D54)</f>
        <v>0.99148594164012527</v>
      </c>
      <c r="E57" s="83">
        <f t="shared" ca="1" si="12"/>
        <v>0.45734210612967841</v>
      </c>
      <c r="F57" s="83"/>
      <c r="G57" s="83">
        <f t="shared" ref="G57:L57" ca="1" si="13">MIN(G13:G54)</f>
        <v>0.41647102999532137</v>
      </c>
      <c r="H57" s="83">
        <f t="shared" ca="1" si="13"/>
        <v>0.93463712466036664</v>
      </c>
      <c r="I57" s="83">
        <f t="shared" ca="1" si="13"/>
        <v>0.45734210612967841</v>
      </c>
      <c r="J57" s="83">
        <f t="shared" ca="1" si="13"/>
        <v>0.98</v>
      </c>
      <c r="K57" s="83">
        <f t="shared" ca="1" si="13"/>
        <v>0.89789244865150375</v>
      </c>
      <c r="L57" s="83">
        <f t="shared" ca="1" si="13"/>
        <v>1.2341939089354406</v>
      </c>
      <c r="N57" s="6"/>
    </row>
    <row r="58" spans="1:14" ht="15">
      <c r="A58" s="82" t="s">
        <v>337</v>
      </c>
      <c r="B58" s="83">
        <f ca="1">MAX(B13:B54)</f>
        <v>0.98314102737272735</v>
      </c>
      <c r="C58" s="83"/>
      <c r="D58" s="83">
        <f t="shared" ref="D58:E58" ca="1" si="14">MAX(D13:D54)</f>
        <v>0.99817555892288401</v>
      </c>
      <c r="E58" s="83">
        <f t="shared" ca="1" si="14"/>
        <v>0.95</v>
      </c>
      <c r="F58" s="83"/>
      <c r="G58" s="83">
        <f t="shared" ref="G58:L58" ca="1" si="15">MAX(G13:G54)</f>
        <v>0.87134593424429152</v>
      </c>
      <c r="H58" s="83">
        <f t="shared" ca="1" si="15"/>
        <v>0.93785829463002801</v>
      </c>
      <c r="I58" s="83">
        <f t="shared" ca="1" si="15"/>
        <v>0.95</v>
      </c>
      <c r="J58" s="83">
        <f t="shared" ca="1" si="15"/>
        <v>0.98</v>
      </c>
      <c r="K58" s="83">
        <f t="shared" ca="1" si="15"/>
        <v>0.91692033058711775</v>
      </c>
      <c r="L58" s="83">
        <f t="shared" ca="1" si="15"/>
        <v>2.6330003494972152</v>
      </c>
      <c r="N58" s="6"/>
    </row>
    <row r="59" spans="1:14">
      <c r="L59" s="5"/>
      <c r="M59" s="5"/>
    </row>
    <row r="60" spans="1:14">
      <c r="G60" s="6"/>
      <c r="H60" s="6"/>
      <c r="I60" s="6"/>
      <c r="J60" s="6"/>
      <c r="L60" s="7"/>
      <c r="M60" s="7"/>
    </row>
    <row r="61" spans="1:14">
      <c r="E61" s="6"/>
      <c r="F61" s="6"/>
      <c r="G61" s="6"/>
      <c r="H61" s="6"/>
      <c r="I61" s="6"/>
      <c r="J61" s="6"/>
      <c r="L61" s="7"/>
      <c r="M61" s="7"/>
    </row>
  </sheetData>
  <mergeCells count="12">
    <mergeCell ref="A11:D11"/>
    <mergeCell ref="I1:J1"/>
    <mergeCell ref="H3:J3"/>
    <mergeCell ref="H4:K4"/>
    <mergeCell ref="A5:B5"/>
    <mergeCell ref="H5:K5"/>
    <mergeCell ref="H6:K6"/>
    <mergeCell ref="H7:K7"/>
    <mergeCell ref="H8:K8"/>
    <mergeCell ref="A9:B9"/>
    <mergeCell ref="H9:J9"/>
    <mergeCell ref="A10:B10"/>
  </mergeCells>
  <phoneticPr fontId="26" type="noConversion"/>
  <printOptions gridLines="1"/>
  <pageMargins left="0.24" right="0.19" top="0.62" bottom="0.7" header="0.5" footer="0.5"/>
  <headerFooter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3" enableFormatConditionsCalculation="0">
    <pageSetUpPr fitToPage="1"/>
  </sheetPr>
  <dimension ref="A1:N74"/>
  <sheetViews>
    <sheetView topLeftCell="A2" zoomScale="75" zoomScaleNormal="75" zoomScalePageLayoutView="75" workbookViewId="0">
      <selection activeCell="E32" sqref="E32"/>
    </sheetView>
  </sheetViews>
  <sheetFormatPr baseColWidth="10" defaultColWidth="8.83203125" defaultRowHeight="12"/>
  <cols>
    <col min="1" max="1" width="11.33203125" customWidth="1"/>
    <col min="2" max="2" width="12.6640625" customWidth="1"/>
    <col min="3" max="3" width="40.5" customWidth="1"/>
    <col min="4" max="4" width="10.5" customWidth="1"/>
    <col min="5" max="5" width="11" customWidth="1"/>
    <col min="6" max="6" width="9.1640625" customWidth="1"/>
    <col min="7" max="7" width="10.5" customWidth="1"/>
    <col min="8" max="8" width="12.5" customWidth="1"/>
    <col min="9" max="9" width="10.1640625" customWidth="1"/>
    <col min="10" max="10" width="9" customWidth="1"/>
    <col min="11" max="11" width="12" bestFit="1" customWidth="1"/>
    <col min="12" max="12" width="12.1640625" customWidth="1"/>
    <col min="13" max="13" width="10.33203125" customWidth="1"/>
  </cols>
  <sheetData>
    <row r="1" spans="1:14" ht="15.75" customHeight="1" thickBot="1">
      <c r="A1" s="30" t="s">
        <v>309</v>
      </c>
      <c r="F1" t="s">
        <v>238</v>
      </c>
      <c r="H1" s="211" t="s">
        <v>5</v>
      </c>
      <c r="I1" s="212"/>
    </row>
    <row r="2" spans="1:14" ht="13" customHeight="1" thickBot="1">
      <c r="A2" s="91" t="s">
        <v>334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13">
      <c r="A3" s="91"/>
      <c r="B3" s="92" t="s">
        <v>310</v>
      </c>
      <c r="C3" s="92" t="s">
        <v>333</v>
      </c>
      <c r="D3" s="93">
        <v>1.35</v>
      </c>
      <c r="E3" s="128"/>
      <c r="F3" s="94"/>
      <c r="G3" s="213" t="s">
        <v>314</v>
      </c>
      <c r="H3" s="214"/>
      <c r="I3" s="214"/>
      <c r="J3" s="95" t="s">
        <v>323</v>
      </c>
      <c r="K3" s="96">
        <f>ImC!L3</f>
        <v>2.36</v>
      </c>
      <c r="L3" s="91" t="s">
        <v>237</v>
      </c>
      <c r="M3" s="91"/>
      <c r="N3" s="91"/>
    </row>
    <row r="4" spans="1:14" ht="13">
      <c r="A4" s="91"/>
      <c r="B4" s="92" t="s">
        <v>311</v>
      </c>
      <c r="C4" s="155" t="s">
        <v>338</v>
      </c>
      <c r="D4" s="165">
        <v>1.95</v>
      </c>
      <c r="E4" s="128"/>
      <c r="F4" s="94"/>
      <c r="G4" s="213" t="s">
        <v>313</v>
      </c>
      <c r="H4" s="213"/>
      <c r="I4" s="213"/>
      <c r="J4" s="213"/>
      <c r="K4" s="96">
        <f>ImC!L4</f>
        <v>5</v>
      </c>
      <c r="L4" s="91"/>
      <c r="M4" s="105" t="s">
        <v>321</v>
      </c>
      <c r="N4" s="97">
        <f>$K$3^2*PI()/4</f>
        <v>4.3743536108584271</v>
      </c>
    </row>
    <row r="5" spans="1:14" ht="24">
      <c r="A5" s="215">
        <v>41064</v>
      </c>
      <c r="B5" s="216"/>
      <c r="C5" s="156" t="s">
        <v>4</v>
      </c>
      <c r="D5" s="99" t="s">
        <v>306</v>
      </c>
      <c r="E5" s="129"/>
      <c r="F5" s="94"/>
      <c r="G5" s="213" t="s">
        <v>241</v>
      </c>
      <c r="H5" s="213"/>
      <c r="I5" s="213"/>
      <c r="J5" s="213"/>
      <c r="K5" s="96">
        <v>3</v>
      </c>
      <c r="L5" s="91" t="s">
        <v>236</v>
      </c>
      <c r="M5" s="91"/>
      <c r="N5" s="97">
        <f>$N$4*(1-$K$6^2-$K$7-$K$8)</f>
        <v>3.367814844999903</v>
      </c>
    </row>
    <row r="6" spans="1:14" ht="13">
      <c r="A6" s="91"/>
      <c r="B6" s="91"/>
      <c r="C6" s="91"/>
      <c r="D6" s="100"/>
      <c r="E6" s="130"/>
      <c r="F6" s="94"/>
      <c r="G6" s="213" t="s">
        <v>315</v>
      </c>
      <c r="H6" s="213"/>
      <c r="I6" s="213"/>
      <c r="J6" s="213"/>
      <c r="K6" s="96">
        <f>ImC!L6</f>
        <v>0.31</v>
      </c>
      <c r="L6" s="91"/>
      <c r="M6" s="91"/>
      <c r="N6" s="91"/>
    </row>
    <row r="7" spans="1:14" ht="13">
      <c r="A7" s="154"/>
      <c r="B7" s="133"/>
      <c r="C7" s="91" t="s">
        <v>333</v>
      </c>
      <c r="D7" s="99">
        <f>0.5*(D3+D4)</f>
        <v>1.65</v>
      </c>
      <c r="E7" s="129"/>
      <c r="F7" s="91"/>
      <c r="G7" s="217" t="s">
        <v>235</v>
      </c>
      <c r="H7" s="217"/>
      <c r="I7" s="217"/>
      <c r="J7" s="217"/>
      <c r="K7" s="96">
        <f>ImC!L7</f>
        <v>5.3999999999999999E-2</v>
      </c>
      <c r="L7" s="91"/>
      <c r="M7" s="91"/>
      <c r="N7" s="91"/>
    </row>
    <row r="8" spans="1:14" ht="14" thickBot="1">
      <c r="A8" s="91" t="s">
        <v>248</v>
      </c>
      <c r="B8" s="91"/>
      <c r="C8" s="91"/>
      <c r="D8" s="131">
        <f>(D4-D3)/D7</f>
        <v>0.36363636363636359</v>
      </c>
      <c r="E8" s="128"/>
      <c r="F8" s="102"/>
      <c r="G8" s="217" t="s">
        <v>234</v>
      </c>
      <c r="H8" s="217"/>
      <c r="I8" s="217"/>
      <c r="J8" s="217"/>
      <c r="K8" s="106">
        <f>ImC!L8</f>
        <v>0.08</v>
      </c>
      <c r="L8" s="91"/>
      <c r="M8" s="91"/>
      <c r="N8" s="91"/>
    </row>
    <row r="9" spans="1:14" ht="14" thickBot="1">
      <c r="A9" s="217" t="s">
        <v>312</v>
      </c>
      <c r="B9" s="218"/>
      <c r="C9" s="92" t="s">
        <v>333</v>
      </c>
      <c r="D9" s="132">
        <f>(D4-D3)/41</f>
        <v>1.4634146341463412E-2</v>
      </c>
      <c r="E9" s="103"/>
      <c r="F9" s="91"/>
      <c r="G9" s="217" t="s">
        <v>317</v>
      </c>
      <c r="H9" s="217"/>
      <c r="I9" s="217"/>
      <c r="J9" s="92"/>
      <c r="K9" s="101">
        <v>0.02</v>
      </c>
      <c r="L9" s="91"/>
      <c r="M9" s="91"/>
      <c r="N9" s="91"/>
    </row>
    <row r="10" spans="1:14" ht="14.25" customHeight="1">
      <c r="A10" s="217" t="s">
        <v>316</v>
      </c>
      <c r="B10" s="218"/>
      <c r="C10" s="98"/>
      <c r="D10" s="102">
        <f>(D4-D3)/((D3+D4)/2)</f>
        <v>0.36363636363636359</v>
      </c>
      <c r="E10" s="102"/>
      <c r="F10" s="91"/>
      <c r="G10" s="91"/>
      <c r="H10" s="91" t="s">
        <v>190</v>
      </c>
      <c r="I10" s="91"/>
      <c r="J10" s="104" t="s">
        <v>354</v>
      </c>
      <c r="K10" s="96">
        <v>0</v>
      </c>
      <c r="L10" s="91"/>
      <c r="M10" s="91"/>
      <c r="N10" s="91"/>
    </row>
    <row r="11" spans="1:14" ht="14.25" customHeight="1" thickBot="1">
      <c r="A11" s="219" t="s">
        <v>247</v>
      </c>
      <c r="B11" s="220"/>
      <c r="C11" s="220"/>
      <c r="D11" s="102">
        <v>0.95</v>
      </c>
      <c r="E11" s="102"/>
      <c r="F11" s="91"/>
      <c r="G11" s="91"/>
      <c r="H11" s="91"/>
      <c r="I11" s="91"/>
      <c r="J11" s="91"/>
      <c r="K11" s="91" t="s">
        <v>342</v>
      </c>
      <c r="L11" s="91"/>
      <c r="M11" s="91"/>
      <c r="N11" s="91"/>
    </row>
    <row r="12" spans="1:14" ht="64.5" customHeight="1">
      <c r="A12" s="84" t="s">
        <v>165</v>
      </c>
      <c r="B12" s="85" t="s">
        <v>0</v>
      </c>
      <c r="C12" s="85" t="s">
        <v>367</v>
      </c>
      <c r="D12" s="85" t="s">
        <v>196</v>
      </c>
      <c r="E12" s="85" t="s">
        <v>13</v>
      </c>
      <c r="F12" s="85" t="s">
        <v>191</v>
      </c>
      <c r="G12" s="85" t="s">
        <v>324</v>
      </c>
      <c r="H12" s="86" t="s">
        <v>325</v>
      </c>
      <c r="I12" s="85" t="s">
        <v>183</v>
      </c>
      <c r="J12" s="85" t="s">
        <v>341</v>
      </c>
      <c r="K12" s="85" t="s">
        <v>320</v>
      </c>
      <c r="M12" s="5" t="s">
        <v>322</v>
      </c>
    </row>
    <row r="13" spans="1:14" ht="15.75" customHeight="1">
      <c r="A13" s="78">
        <f>D3</f>
        <v>1.35</v>
      </c>
      <c r="B13" s="83">
        <f>IF($A13&lt;&gt;"",IF($D$5="pAu",VLOOKUP(A13,pAg!$A$2:$C$47,3),VLOOKUP(A13,pAg!$O$3:$P1203,2)),"")</f>
        <v>0.97777523117272724</v>
      </c>
      <c r="C13" s="87">
        <f>IF($A13&lt;&gt;"",1-VLOOKUP($M13,'AR sim'!$E$10:$F$38,2)*GRS!$D$10/'AR sim'!$D$42,"")</f>
        <v>0.98199999999999998</v>
      </c>
      <c r="D13" s="88">
        <f>IF($D$7="n/a",1,IF($A13&gt;($D$7*(1-1/2/$D$8)),IF($A13&lt;$D$7*(1+1/2/$D$8),D$11,0),0))</f>
        <v>0.95</v>
      </c>
      <c r="E13" s="87">
        <f>VLOOKUP(GRS!$A13,'Grism model 1.3-1.867'!$A$12:$C$53,3)^2</f>
        <v>0.59132519783422699</v>
      </c>
      <c r="F13" s="83">
        <f>IF($A13&lt;&gt;"",$B13^$K$4*$C13^(2*($K$5))*$D13*$E13,"")</f>
        <v>0.45020889959693217</v>
      </c>
      <c r="G13" s="83">
        <f t="shared" ref="G13:G54" si="0">IF($A13&lt;&gt;"",$B13^$K$4,"")</f>
        <v>0.8937069967200989</v>
      </c>
      <c r="H13" s="83">
        <f t="shared" ref="H13:H54" si="1">IF($A13&lt;&gt;"",$C13^(2*($K$5))*$D13,"")</f>
        <v>0.85190767716977389</v>
      </c>
      <c r="I13" s="89">
        <f t="shared" ref="I13:I54" si="2">IF($A13&lt;&gt;"",(1-$K$9),"")</f>
        <v>0.98</v>
      </c>
      <c r="J13" s="46">
        <f>VLOOKUP($A13,'SWIR data'!$A$5:$K$795,11)/100</f>
        <v>0.82985074183990937</v>
      </c>
      <c r="K13" s="90">
        <f t="shared" ref="K13:K21" si="3">IF($A13&lt;&gt;"",F13*$J13*$I13*$N$5,"")</f>
        <v>1.2330717411425856</v>
      </c>
      <c r="M13" s="6">
        <f t="shared" ref="M13:M54" si="4">($A13-$D$3)/($D$4-$D$3)</f>
        <v>0</v>
      </c>
    </row>
    <row r="14" spans="1:14" ht="15.75" customHeight="1">
      <c r="A14" s="79">
        <f t="shared" ref="A14:A54" si="5">IF(A13&lt;&gt;"",IF(A13+$D$9&gt;$D$4,"",A13+$D$9),"")</f>
        <v>1.3646341463414635</v>
      </c>
      <c r="B14" s="83">
        <f>IF($A14&lt;&gt;"",IF($D$5="pAu",VLOOKUP(A14,pAg!$A$2:$C$47,3),VLOOKUP(A14,pAg!$O$3:$P1204,2)),"")</f>
        <v>0.97790032076363631</v>
      </c>
      <c r="C14" s="87">
        <f>IF($A14&lt;&gt;"",1-VLOOKUP($M14,'AR sim'!$E$10:$F$38,2)*GRS!$D$10/'AR sim'!$D$42,"")</f>
        <v>0.98199999999999998</v>
      </c>
      <c r="D14" s="88">
        <f t="shared" ref="D14:D54" si="6">IF($D$7="n/a",1,IF($A14&gt;($D$7*(1-1/2/$D$8)),IF($A14&lt;$D$7*(1+1/2/$D$8),D$11,0),0))</f>
        <v>0.95</v>
      </c>
      <c r="E14" s="87">
        <f>VLOOKUP(GRS!$A14,'Grism model 1.3-1.867'!$A$12:$C$53,3)^2</f>
        <v>0.59132519783422699</v>
      </c>
      <c r="F14" s="83">
        <f t="shared" ref="F14:F54" si="7">IF($A14&lt;&gt;"",$B14^$K$4*$C14^(2*($K$5))*$D14*$E14,"")</f>
        <v>0.45049695587291044</v>
      </c>
      <c r="G14" s="83">
        <f t="shared" si="0"/>
        <v>0.89427881551248933</v>
      </c>
      <c r="H14" s="83">
        <f t="shared" si="1"/>
        <v>0.85190767716977389</v>
      </c>
      <c r="I14" s="89">
        <f t="shared" si="2"/>
        <v>0.98</v>
      </c>
      <c r="J14" s="46">
        <f>VLOOKUP($A14,'SWIR data'!$A$5:$K$795,11)/100</f>
        <v>0.83499677191413813</v>
      </c>
      <c r="K14" s="90">
        <f t="shared" si="3"/>
        <v>1.2415120519663583</v>
      </c>
      <c r="M14" s="6">
        <f t="shared" si="4"/>
        <v>2.4390243902439053E-2</v>
      </c>
    </row>
    <row r="15" spans="1:14" ht="16.5" customHeight="1">
      <c r="A15" s="79">
        <f t="shared" si="5"/>
        <v>1.3792682926829269</v>
      </c>
      <c r="B15" s="83">
        <f>IF($A15&lt;&gt;"",IF($D$5="pAu",VLOOKUP(A15,pAg!$A$2:$C$47,3),VLOOKUP(A15,pAg!$O$3:$P1205,2)),"")</f>
        <v>0.9781226652727274</v>
      </c>
      <c r="C15" s="87">
        <f>IF($A15&lt;&gt;"",1-VLOOKUP($M15,'AR sim'!$E$10:$F$38,2)*GRS!$D$10/'AR sim'!$D$42,"")</f>
        <v>0.98585714285714288</v>
      </c>
      <c r="D15" s="88">
        <f t="shared" si="6"/>
        <v>0.95</v>
      </c>
      <c r="E15" s="87">
        <f>VLOOKUP(GRS!$A15,'Grism model 1.3-1.867'!$A$12:$C$53,3)^2</f>
        <v>0.6135532373477478</v>
      </c>
      <c r="F15" s="83">
        <f t="shared" si="7"/>
        <v>0.47910024676573854</v>
      </c>
      <c r="G15" s="83">
        <f t="shared" si="0"/>
        <v>0.8952959356619995</v>
      </c>
      <c r="H15" s="83">
        <f t="shared" si="1"/>
        <v>0.87218282365963817</v>
      </c>
      <c r="I15" s="89">
        <f t="shared" si="2"/>
        <v>0.98</v>
      </c>
      <c r="J15" s="46">
        <f>VLOOKUP($A15,'SWIR data'!$A$5:$K$795,11)/100</f>
        <v>0.83899577032663475</v>
      </c>
      <c r="K15" s="90">
        <f t="shared" si="3"/>
        <v>1.3266624853832159</v>
      </c>
      <c r="M15" s="6">
        <f t="shared" si="4"/>
        <v>4.8780487804878106E-2</v>
      </c>
    </row>
    <row r="16" spans="1:14" ht="14.25" customHeight="1">
      <c r="A16" s="79">
        <f t="shared" si="5"/>
        <v>1.3939024390243904</v>
      </c>
      <c r="B16" s="83">
        <f>IF($A16&lt;&gt;"",IF($D$5="pAu",VLOOKUP(A16,pAg!$A$2:$C$47,3),VLOOKUP(A16,pAg!$O$3:$P1206,2)),"")</f>
        <v>0.97834236941363628</v>
      </c>
      <c r="C16" s="87">
        <f>IF($A16&lt;&gt;"",1-VLOOKUP($M16,'AR sim'!$E$10:$F$38,2)*GRS!$D$10/'AR sim'!$D$42,"")</f>
        <v>0.98971428571428566</v>
      </c>
      <c r="D16" s="88">
        <f t="shared" si="6"/>
        <v>0.95</v>
      </c>
      <c r="E16" s="87">
        <f>VLOOKUP(GRS!$A16,'Grism model 1.3-1.867'!$A$12:$C$53,3)^2</f>
        <v>0.63449578235775628</v>
      </c>
      <c r="F16" s="83">
        <f t="shared" si="7"/>
        <v>0.50776842260045552</v>
      </c>
      <c r="G16" s="83">
        <f t="shared" si="0"/>
        <v>0.89630188622493623</v>
      </c>
      <c r="H16" s="83">
        <f t="shared" si="1"/>
        <v>0.89285850370494479</v>
      </c>
      <c r="I16" s="89">
        <f t="shared" si="2"/>
        <v>0.98</v>
      </c>
      <c r="J16" s="46">
        <f>VLOOKUP($A16,'SWIR data'!$A$5:$K$795,11)/100</f>
        <v>0.84383338289923671</v>
      </c>
      <c r="K16" s="90">
        <f t="shared" si="3"/>
        <v>1.4141538960453568</v>
      </c>
      <c r="M16" s="6">
        <f t="shared" si="4"/>
        <v>7.3170731707317152E-2</v>
      </c>
    </row>
    <row r="17" spans="1:13" ht="15">
      <c r="A17" s="79">
        <f t="shared" si="5"/>
        <v>1.4085365853658538</v>
      </c>
      <c r="B17" s="83">
        <f>IF($A17&lt;&gt;"",IF($D$5="pAu",VLOOKUP(A17,pAg!$A$2:$C$47,3),VLOOKUP(A17,pAg!$O$3:$P1207,2)),"")</f>
        <v>0.97819953083181832</v>
      </c>
      <c r="C17" s="87">
        <f>IF($A17&lt;&gt;"",1-VLOOKUP($M17,'AR sim'!$E$10:$F$38,2)*GRS!$D$10/'AR sim'!$D$42,"")</f>
        <v>0.98971428571428566</v>
      </c>
      <c r="D17" s="88">
        <f t="shared" si="6"/>
        <v>0.95</v>
      </c>
      <c r="E17" s="87">
        <f>VLOOKUP(GRS!$A17,'Grism model 1.3-1.867'!$A$12:$C$53,3)^2</f>
        <v>0.65410860213807387</v>
      </c>
      <c r="F17" s="83">
        <f t="shared" si="7"/>
        <v>0.52308197007170865</v>
      </c>
      <c r="G17" s="83">
        <f t="shared" si="0"/>
        <v>0.89564777414782992</v>
      </c>
      <c r="H17" s="83">
        <f t="shared" si="1"/>
        <v>0.89285850370494479</v>
      </c>
      <c r="I17" s="89">
        <f t="shared" si="2"/>
        <v>0.98</v>
      </c>
      <c r="J17" s="46">
        <f>VLOOKUP($A17,'SWIR data'!$A$5:$K$795,11)/100</f>
        <v>0.8484904129151809</v>
      </c>
      <c r="K17" s="90">
        <f t="shared" si="3"/>
        <v>1.4648426387763238</v>
      </c>
      <c r="M17" s="6">
        <f t="shared" si="4"/>
        <v>9.7560975609756212E-2</v>
      </c>
    </row>
    <row r="18" spans="1:13" ht="15">
      <c r="A18" s="79">
        <f t="shared" si="5"/>
        <v>1.4231707317073172</v>
      </c>
      <c r="B18" s="83">
        <f>IF($A18&lt;&gt;"",IF($D$5="pAu",VLOOKUP(A18,pAg!$A$2:$C$47,3),VLOOKUP(A18,pAg!$O$3:$P1208,2)),"")</f>
        <v>0.97841444359545449</v>
      </c>
      <c r="C18" s="87">
        <f>IF($A18&lt;&gt;"",1-VLOOKUP($M18,'AR sim'!$E$10:$F$38,2)*GRS!$D$10/'AR sim'!$D$42,"")</f>
        <v>0.99228571428571433</v>
      </c>
      <c r="D18" s="88">
        <f t="shared" si="6"/>
        <v>0.95</v>
      </c>
      <c r="E18" s="87">
        <f>VLOOKUP(GRS!$A18,'Grism model 1.3-1.867'!$A$12:$C$53,3)^2</f>
        <v>0.67236129520227417</v>
      </c>
      <c r="F18" s="83">
        <f t="shared" si="7"/>
        <v>0.5467150386988906</v>
      </c>
      <c r="G18" s="83">
        <f t="shared" si="0"/>
        <v>0.89663208629594626</v>
      </c>
      <c r="H18" s="83">
        <f t="shared" si="1"/>
        <v>0.90686791965145264</v>
      </c>
      <c r="I18" s="89">
        <f t="shared" si="2"/>
        <v>0.98</v>
      </c>
      <c r="J18" s="46">
        <f>VLOOKUP($A18,'SWIR data'!$A$5:$K$795,11)/100</f>
        <v>0.85208736066624535</v>
      </c>
      <c r="K18" s="90">
        <f t="shared" si="3"/>
        <v>1.5375152295549264</v>
      </c>
      <c r="M18" s="6">
        <f t="shared" si="4"/>
        <v>0.12195121951219526</v>
      </c>
    </row>
    <row r="19" spans="1:13" ht="15">
      <c r="A19" s="79">
        <f t="shared" si="5"/>
        <v>1.4378048780487807</v>
      </c>
      <c r="B19" s="83">
        <f>IF($A19&lt;&gt;"",IF($D$5="pAu",VLOOKUP(A19,pAg!$A$2:$C$47,3),VLOOKUP(A19,pAg!$O$3:$P1209,2)),"")</f>
        <v>0.97890864471818173</v>
      </c>
      <c r="C19" s="87">
        <f>IF($A19&lt;&gt;"",1-VLOOKUP($M19,'AR sim'!$E$10:$F$38,2)*GRS!$D$10/'AR sim'!$D$42,"")</f>
        <v>0.99485714285714288</v>
      </c>
      <c r="D19" s="88">
        <f t="shared" si="6"/>
        <v>0.95</v>
      </c>
      <c r="E19" s="87">
        <f>VLOOKUP(GRS!$A19,'Grism model 1.3-1.867'!$A$12:$C$53,3)^2</f>
        <v>0.68923544372361178</v>
      </c>
      <c r="F19" s="83">
        <f t="shared" si="7"/>
        <v>0.57064545358544638</v>
      </c>
      <c r="G19" s="83">
        <f t="shared" si="0"/>
        <v>0.89889883763414757</v>
      </c>
      <c r="H19" s="83">
        <f t="shared" si="1"/>
        <v>0.92106003774982659</v>
      </c>
      <c r="I19" s="89">
        <f t="shared" si="2"/>
        <v>0.98</v>
      </c>
      <c r="J19" s="46">
        <f>VLOOKUP($A19,'SWIR data'!$A$5:$K$795,11)/100</f>
        <v>0.8564219099411039</v>
      </c>
      <c r="K19" s="90">
        <f t="shared" si="3"/>
        <v>1.6129778870952403</v>
      </c>
      <c r="M19" s="6">
        <f t="shared" si="4"/>
        <v>0.1463414634146343</v>
      </c>
    </row>
    <row r="20" spans="1:13" ht="15">
      <c r="A20" s="79">
        <f t="shared" si="5"/>
        <v>1.4524390243902441</v>
      </c>
      <c r="B20" s="83">
        <f>IF($A20&lt;&gt;"",IF($D$5="pAu",VLOOKUP(A20,pAg!$A$2:$C$47,3),VLOOKUP(A20,pAg!$O$3:$P1210,2)),"")</f>
        <v>0.97912988115909083</v>
      </c>
      <c r="C20" s="87">
        <f>IF($A20&lt;&gt;"",1-VLOOKUP($M20,'AR sim'!$E$10:$F$38,2)*GRS!$D$10/'AR sim'!$D$42,"")</f>
        <v>0.99485714285714288</v>
      </c>
      <c r="D20" s="88">
        <f t="shared" si="6"/>
        <v>0.95</v>
      </c>
      <c r="E20" s="87">
        <f>VLOOKUP(GRS!$A20,'Grism model 1.3-1.867'!$A$12:$C$53,3)^2</f>
        <v>0.70472302262612729</v>
      </c>
      <c r="F20" s="83">
        <f t="shared" si="7"/>
        <v>0.58412786291870389</v>
      </c>
      <c r="G20" s="83">
        <f t="shared" si="0"/>
        <v>0.89991506673320754</v>
      </c>
      <c r="H20" s="83">
        <f t="shared" si="1"/>
        <v>0.92106003774982659</v>
      </c>
      <c r="I20" s="89">
        <f t="shared" si="2"/>
        <v>0.98</v>
      </c>
      <c r="J20" s="46">
        <f>VLOOKUP($A20,'SWIR data'!$A$5:$K$795,11)/100</f>
        <v>0.85976126073868331</v>
      </c>
      <c r="K20" s="90">
        <f t="shared" si="3"/>
        <v>1.6575249635975358</v>
      </c>
      <c r="M20" s="6">
        <f t="shared" si="4"/>
        <v>0.17073170731707335</v>
      </c>
    </row>
    <row r="21" spans="1:13" ht="15">
      <c r="A21" s="79">
        <f t="shared" si="5"/>
        <v>1.4670731707317075</v>
      </c>
      <c r="B21" s="83">
        <f>IF($A21&lt;&gt;"",IF($D$5="pAu",VLOOKUP(A21,pAg!$A$2:$C$47,3),VLOOKUP(A21,pAg!$O$3:$P1211,2)),"")</f>
        <v>0.97937314418636379</v>
      </c>
      <c r="C21" s="87">
        <f>IF($A21&lt;&gt;"",1-VLOOKUP($M21,'AR sim'!$E$10:$F$38,2)*GRS!$D$10/'AR sim'!$D$42,"")</f>
        <v>0.99517857142857147</v>
      </c>
      <c r="D21" s="88">
        <f t="shared" si="6"/>
        <v>0.95</v>
      </c>
      <c r="E21" s="87">
        <f>VLOOKUP(GRS!$A21,'Grism model 1.3-1.867'!$A$12:$C$53,3)^2</f>
        <v>0.71882648519415915</v>
      </c>
      <c r="F21" s="83">
        <f t="shared" si="7"/>
        <v>0.59771578644905543</v>
      </c>
      <c r="G21" s="83">
        <f t="shared" si="0"/>
        <v>0.90103353361516347</v>
      </c>
      <c r="H21" s="83">
        <f t="shared" si="1"/>
        <v>0.92284699328490349</v>
      </c>
      <c r="I21" s="89">
        <f t="shared" si="2"/>
        <v>0.98</v>
      </c>
      <c r="J21" s="46">
        <f>VLOOKUP($A21,'SWIR data'!$A$5:$K$795,11)/100</f>
        <v>0.86372579387391968</v>
      </c>
      <c r="K21" s="90">
        <f t="shared" si="3"/>
        <v>1.7039031203413197</v>
      </c>
      <c r="M21" s="6">
        <f t="shared" si="4"/>
        <v>0.19512195121951242</v>
      </c>
    </row>
    <row r="22" spans="1:13" ht="15">
      <c r="A22" s="79">
        <f t="shared" si="5"/>
        <v>1.4817073170731709</v>
      </c>
      <c r="B22" s="83">
        <f>IF($A22&lt;&gt;"",IF($D$5="pAu",VLOOKUP(A22,pAg!$A$2:$C$47,3),VLOOKUP(A22,pAg!$O$3:$P1212,2)),"")</f>
        <v>0.97952888249090919</v>
      </c>
      <c r="C22" s="87">
        <f>IF($A22&lt;&gt;"",1-VLOOKUP($M22,'AR sim'!$E$10:$F$38,2)*GRS!$D$10/'AR sim'!$D$42,"")</f>
        <v>0.99550000000000005</v>
      </c>
      <c r="D22" s="88">
        <f t="shared" si="6"/>
        <v>0.95</v>
      </c>
      <c r="E22" s="87">
        <f>VLOOKUP(GRS!$A22,'Grism model 1.3-1.867'!$A$12:$C$53,3)^2</f>
        <v>0.73097102309098494</v>
      </c>
      <c r="F22" s="83">
        <f t="shared" si="7"/>
        <v>0.60947736810139719</v>
      </c>
      <c r="G22" s="83">
        <f t="shared" si="0"/>
        <v>0.90175016583769019</v>
      </c>
      <c r="H22" s="83">
        <f t="shared" si="1"/>
        <v>0.92463683695788068</v>
      </c>
      <c r="I22" s="89">
        <f t="shared" si="2"/>
        <v>0.98</v>
      </c>
      <c r="J22" s="46">
        <f>VLOOKUP($A22,'SWIR data'!$A$5:$K$795,11)/100</f>
        <v>0.86709814783005901</v>
      </c>
      <c r="K22" s="90">
        <f t="shared" ref="K22:K44" si="8">IF($A22&lt;&gt;"",F22*$J22*$I22*$N$5,"")</f>
        <v>1.744215432167965</v>
      </c>
      <c r="M22" s="6">
        <f t="shared" si="4"/>
        <v>0.21951219512195147</v>
      </c>
    </row>
    <row r="23" spans="1:13" ht="15">
      <c r="A23" s="79">
        <f t="shared" si="5"/>
        <v>1.4963414634146344</v>
      </c>
      <c r="B23" s="83">
        <f>IF($A23&lt;&gt;"",IF($D$5="pAu",VLOOKUP(A23,pAg!$A$2:$C$47,3),VLOOKUP(A23,pAg!$O$3:$P1213,2)),"")</f>
        <v>0.97968476552272732</v>
      </c>
      <c r="C23" s="87">
        <f>IF($A23&lt;&gt;"",1-VLOOKUP($M23,'AR sim'!$E$10:$F$38,2)*GRS!$D$10/'AR sim'!$D$42,"")</f>
        <v>0.99550000000000005</v>
      </c>
      <c r="D23" s="88">
        <f t="shared" si="6"/>
        <v>0.95</v>
      </c>
      <c r="E23" s="87">
        <f>VLOOKUP(GRS!$A23,'Grism model 1.3-1.867'!$A$12:$C$53,3)^2</f>
        <v>0.74056946378233601</v>
      </c>
      <c r="F23" s="83">
        <f t="shared" si="7"/>
        <v>0.61797195375745284</v>
      </c>
      <c r="G23" s="83">
        <f t="shared" si="0"/>
        <v>0.90246792056395808</v>
      </c>
      <c r="H23" s="83">
        <f t="shared" si="1"/>
        <v>0.92463683695788068</v>
      </c>
      <c r="I23" s="89">
        <f t="shared" si="2"/>
        <v>0.98</v>
      </c>
      <c r="J23" s="46">
        <f>VLOOKUP($A23,'SWIR data'!$A$5:$K$795,11)/100</f>
        <v>0.86968742174278291</v>
      </c>
      <c r="K23" s="90">
        <f t="shared" si="8"/>
        <v>1.7738064792772659</v>
      </c>
      <c r="M23" s="6">
        <f t="shared" si="4"/>
        <v>0.24390243902439052</v>
      </c>
    </row>
    <row r="24" spans="1:13" ht="15">
      <c r="A24" s="79">
        <f t="shared" si="5"/>
        <v>1.5109756097560978</v>
      </c>
      <c r="B24" s="83">
        <f>IF($A24&lt;&gt;"",IF($D$5="pAu",VLOOKUP(A24,pAg!$A$2:$C$47,3),VLOOKUP(A24,pAg!$O$3:$P1214,2)),"")</f>
        <v>0.97978765123636369</v>
      </c>
      <c r="C24" s="87">
        <f>IF($A24&lt;&gt;"",1-VLOOKUP($M24,'AR sim'!$E$10:$F$38,2)*GRS!$D$10/'AR sim'!$D$42,"")</f>
        <v>0.99582142857142864</v>
      </c>
      <c r="D24" s="88">
        <f t="shared" si="6"/>
        <v>0.95</v>
      </c>
      <c r="E24" s="87">
        <f>VLOOKUP(GRS!$A24,'Grism model 1.3-1.867'!$A$12:$C$53,3)^2</f>
        <v>0.74327198670234773</v>
      </c>
      <c r="F24" s="83">
        <f t="shared" si="7"/>
        <v>0.62175599608633059</v>
      </c>
      <c r="G24" s="83">
        <f t="shared" si="0"/>
        <v>0.90294190241835437</v>
      </c>
      <c r="H24" s="83">
        <f t="shared" si="1"/>
        <v>0.92642957250187652</v>
      </c>
      <c r="I24" s="89">
        <f t="shared" si="2"/>
        <v>0.98</v>
      </c>
      <c r="J24" s="46">
        <f>VLOOKUP($A24,'SWIR data'!$A$5:$K$795,11)/100</f>
        <v>0.87278762348269301</v>
      </c>
      <c r="K24" s="90">
        <f t="shared" si="8"/>
        <v>1.791029932236109</v>
      </c>
      <c r="M24" s="6">
        <f t="shared" si="4"/>
        <v>0.26829268292682956</v>
      </c>
    </row>
    <row r="25" spans="1:13" ht="15">
      <c r="A25" s="79">
        <f t="shared" si="5"/>
        <v>1.5256097560975612</v>
      </c>
      <c r="B25" s="83">
        <f>IF($A25&lt;&gt;"",IF($D$5="pAu",VLOOKUP(A25,pAg!$A$2:$C$47,3),VLOOKUP(A25,pAg!$O$3:$P1215,2)),"")</f>
        <v>0.97996019509090915</v>
      </c>
      <c r="C25" s="87">
        <f>IF($A25&lt;&gt;"",1-VLOOKUP($M25,'AR sim'!$E$10:$F$38,2)*GRS!$D$10/'AR sim'!$D$42,"")</f>
        <v>0.99614285714285722</v>
      </c>
      <c r="D25" s="88">
        <f t="shared" si="6"/>
        <v>0.95</v>
      </c>
      <c r="E25" s="87">
        <f>VLOOKUP(GRS!$A25,'Grism model 1.3-1.867'!$A$12:$C$53,3)^2</f>
        <v>0.74919867929480533</v>
      </c>
      <c r="F25" s="83">
        <f t="shared" si="7"/>
        <v>0.62848155596289479</v>
      </c>
      <c r="G25" s="83">
        <f t="shared" si="0"/>
        <v>0.90373723780814463</v>
      </c>
      <c r="H25" s="83">
        <f t="shared" si="1"/>
        <v>0.92822520365362693</v>
      </c>
      <c r="I25" s="89">
        <f t="shared" si="2"/>
        <v>0.98</v>
      </c>
      <c r="J25" s="46">
        <f>VLOOKUP($A25,'SWIR data'!$A$5:$K$795,11)/100</f>
        <v>0.87575110317547611</v>
      </c>
      <c r="K25" s="90">
        <f t="shared" si="8"/>
        <v>1.8165506545229066</v>
      </c>
      <c r="M25" s="6">
        <f t="shared" si="4"/>
        <v>0.29268292682926861</v>
      </c>
    </row>
    <row r="26" spans="1:13" ht="15">
      <c r="A26" s="79">
        <f t="shared" si="5"/>
        <v>1.5402439024390246</v>
      </c>
      <c r="B26" s="83">
        <f>IF($A26&lt;&gt;"",IF($D$5="pAu",VLOOKUP(A26,pAg!$A$2:$C$47,3),VLOOKUP(A26,pAg!$O$3:$P1216,2)),"")</f>
        <v>0.98015897619090919</v>
      </c>
      <c r="C26" s="87">
        <f>IF($A26&lt;&gt;"",1-VLOOKUP($M26,'AR sim'!$E$10:$F$38,2)*GRS!$D$10/'AR sim'!$D$42,"")</f>
        <v>0.99614285714285722</v>
      </c>
      <c r="D26" s="88">
        <f t="shared" si="6"/>
        <v>0.95</v>
      </c>
      <c r="E26" s="87">
        <f>VLOOKUP(GRS!$A26,'Grism model 1.3-1.867'!$A$12:$C$53,3)^2</f>
        <v>0.75656347131838164</v>
      </c>
      <c r="F26" s="83">
        <f t="shared" si="7"/>
        <v>0.63530362380972316</v>
      </c>
      <c r="G26" s="83">
        <f t="shared" si="0"/>
        <v>0.90465420759354898</v>
      </c>
      <c r="H26" s="83">
        <f t="shared" si="1"/>
        <v>0.92822520365362693</v>
      </c>
      <c r="I26" s="89">
        <f t="shared" si="2"/>
        <v>0.98</v>
      </c>
      <c r="J26" s="46">
        <f>VLOOKUP($A26,'SWIR data'!$A$5:$K$795,11)/100</f>
        <v>0.87801530791909177</v>
      </c>
      <c r="K26" s="90">
        <f t="shared" si="8"/>
        <v>1.8410165937307852</v>
      </c>
      <c r="M26" s="6">
        <f t="shared" si="4"/>
        <v>0.31707317073170765</v>
      </c>
    </row>
    <row r="27" spans="1:13" ht="15">
      <c r="A27" s="79">
        <f t="shared" si="5"/>
        <v>1.5548780487804881</v>
      </c>
      <c r="B27" s="83">
        <f>IF($A27&lt;&gt;"",IF($D$5="pAu",VLOOKUP(A27,pAg!$A$2:$C$47,3),VLOOKUP(A27,pAg!$O$3:$P1217,2)),"")</f>
        <v>0.98032563597727262</v>
      </c>
      <c r="C27" s="87">
        <f>IF($A27&lt;&gt;"",1-VLOOKUP($M27,'AR sim'!$E$10:$F$38,2)*GRS!$D$10/'AR sim'!$D$42,"")</f>
        <v>0.99550000000000005</v>
      </c>
      <c r="D27" s="88">
        <f t="shared" si="6"/>
        <v>0.95</v>
      </c>
      <c r="E27" s="87">
        <f>VLOOKUP(GRS!$A27,'Grism model 1.3-1.867'!$A$12:$C$53,3)^2</f>
        <v>0.76272724233395972</v>
      </c>
      <c r="F27" s="83">
        <f t="shared" si="7"/>
        <v>0.63854608832537529</v>
      </c>
      <c r="G27" s="83">
        <f t="shared" si="0"/>
        <v>0.90542357644622096</v>
      </c>
      <c r="H27" s="83">
        <f t="shared" si="1"/>
        <v>0.92463683695788068</v>
      </c>
      <c r="I27" s="89">
        <f t="shared" si="2"/>
        <v>0.98</v>
      </c>
      <c r="J27" s="46">
        <f>VLOOKUP($A27,'SWIR data'!$A$5:$K$795,11)/100</f>
        <v>0.88072910194850906</v>
      </c>
      <c r="K27" s="90">
        <f t="shared" si="8"/>
        <v>1.8561320867357654</v>
      </c>
      <c r="M27" s="6">
        <f t="shared" si="4"/>
        <v>0.3414634146341467</v>
      </c>
    </row>
    <row r="28" spans="1:13" ht="15">
      <c r="A28" s="79">
        <f t="shared" si="5"/>
        <v>1.5695121951219515</v>
      </c>
      <c r="B28" s="83">
        <f>IF($A28&lt;&gt;"",IF($D$5="pAu",VLOOKUP(A28,pAg!$A$2:$C$47,3),VLOOKUP(A28,pAg!$O$3:$P1218,2)),"")</f>
        <v>0.98044655380454526</v>
      </c>
      <c r="C28" s="87">
        <f>IF($A28&lt;&gt;"",1-VLOOKUP($M28,'AR sim'!$E$10:$F$38,2)*GRS!$D$10/'AR sim'!$D$42,"")</f>
        <v>0.99485714285714288</v>
      </c>
      <c r="D28" s="88">
        <f t="shared" si="6"/>
        <v>0.95</v>
      </c>
      <c r="E28" s="87">
        <f>VLOOKUP(GRS!$A28,'Grism model 1.3-1.867'!$A$12:$C$53,3)^2</f>
        <v>0.76773291408519972</v>
      </c>
      <c r="F28" s="83">
        <f t="shared" si="7"/>
        <v>0.64064541394316266</v>
      </c>
      <c r="G28" s="83">
        <f t="shared" si="0"/>
        <v>0.90598210954439751</v>
      </c>
      <c r="H28" s="83">
        <f t="shared" si="1"/>
        <v>0.92106003774982659</v>
      </c>
      <c r="I28" s="89">
        <f t="shared" si="2"/>
        <v>0.98</v>
      </c>
      <c r="J28" s="46">
        <f>VLOOKUP($A28,'SWIR data'!$A$5:$K$795,11)/100</f>
        <v>0.88279429910535245</v>
      </c>
      <c r="K28" s="90">
        <f t="shared" si="8"/>
        <v>1.8666011288850763</v>
      </c>
      <c r="M28" s="6">
        <f t="shared" si="4"/>
        <v>0.36585365853658575</v>
      </c>
    </row>
    <row r="29" spans="1:13" ht="15">
      <c r="A29" s="79">
        <f t="shared" si="5"/>
        <v>1.5841463414634149</v>
      </c>
      <c r="B29" s="83">
        <f>IF($A29&lt;&gt;"",IF($D$5="pAu",VLOOKUP(A29,pAg!$A$2:$C$47,3),VLOOKUP(A29,pAg!$O$3:$P1219,2)),"")</f>
        <v>0.9805475363545455</v>
      </c>
      <c r="C29" s="87">
        <f>IF($A29&lt;&gt;"",1-VLOOKUP($M29,'AR sim'!$E$10:$F$38,2)*GRS!$D$10/'AR sim'!$D$42,"")</f>
        <v>0.99485714285714288</v>
      </c>
      <c r="D29" s="88">
        <f t="shared" si="6"/>
        <v>0.95</v>
      </c>
      <c r="E29" s="87">
        <f>VLOOKUP(GRS!$A29,'Grism model 1.3-1.867'!$A$12:$C$53,3)^2</f>
        <v>0.77162599437903812</v>
      </c>
      <c r="F29" s="83">
        <f t="shared" si="7"/>
        <v>0.64422571140643903</v>
      </c>
      <c r="G29" s="83">
        <f t="shared" si="0"/>
        <v>0.90644877053283468</v>
      </c>
      <c r="H29" s="83">
        <f t="shared" si="1"/>
        <v>0.92106003774982659</v>
      </c>
      <c r="I29" s="89">
        <f t="shared" si="2"/>
        <v>0.98</v>
      </c>
      <c r="J29" s="46">
        <f>VLOOKUP($A29,'SWIR data'!$A$5:$K$795,11)/100</f>
        <v>0.88526480001691821</v>
      </c>
      <c r="K29" s="90">
        <f t="shared" si="8"/>
        <v>1.8822856551194469</v>
      </c>
      <c r="M29" s="6">
        <f t="shared" si="4"/>
        <v>0.39024390243902485</v>
      </c>
    </row>
    <row r="30" spans="1:13" ht="15">
      <c r="A30" s="79">
        <f t="shared" si="5"/>
        <v>1.5987804878048784</v>
      </c>
      <c r="B30" s="83">
        <f>IF($A30&lt;&gt;"",IF($D$5="pAu",VLOOKUP(A30,pAg!$A$2:$C$47,3),VLOOKUP(A30,pAg!$O$3:$P1220,2)),"")</f>
        <v>0.98077690194545464</v>
      </c>
      <c r="C30" s="87">
        <f>IF($A30&lt;&gt;"",1-VLOOKUP($M30,'AR sim'!$E$10:$F$38,2)*GRS!$D$10/'AR sim'!$D$42,"")</f>
        <v>0.99421428571428572</v>
      </c>
      <c r="D30" s="88">
        <f t="shared" si="6"/>
        <v>0.95</v>
      </c>
      <c r="E30" s="87">
        <f>VLOOKUP(GRS!$A30,'Grism model 1.3-1.867'!$A$12:$C$53,3)^2</f>
        <v>0.77445397806141314</v>
      </c>
      <c r="F30" s="83">
        <f t="shared" si="7"/>
        <v>0.64483761313679444</v>
      </c>
      <c r="G30" s="83">
        <f t="shared" si="0"/>
        <v>0.90750943020992114</v>
      </c>
      <c r="H30" s="83">
        <f t="shared" si="1"/>
        <v>0.91749477617897557</v>
      </c>
      <c r="I30" s="89">
        <f t="shared" si="2"/>
        <v>0.98</v>
      </c>
      <c r="J30" s="46">
        <f>VLOOKUP($A30,'SWIR data'!$A$5:$K$795,11)/100</f>
        <v>0.88760416096261863</v>
      </c>
      <c r="K30" s="90">
        <f t="shared" si="8"/>
        <v>1.8890522651078983</v>
      </c>
      <c r="M30" s="6">
        <f t="shared" si="4"/>
        <v>0.41463414634146389</v>
      </c>
    </row>
    <row r="31" spans="1:13" ht="15">
      <c r="A31" s="79">
        <f t="shared" si="5"/>
        <v>1.6134146341463418</v>
      </c>
      <c r="B31" s="83">
        <f>IF($A31&lt;&gt;"",IF($D$5="pAu",VLOOKUP(A31,pAg!$A$2:$C$47,3),VLOOKUP(A31,pAg!$O$3:$P1221,2)),"")</f>
        <v>0.98090839300454535</v>
      </c>
      <c r="C31" s="87">
        <f>IF($A31&lt;&gt;"",1-VLOOKUP($M31,'AR sim'!$E$10:$F$38,2)*GRS!$D$10/'AR sim'!$D$42,"")</f>
        <v>0.99357142857142866</v>
      </c>
      <c r="D31" s="88">
        <f t="shared" si="6"/>
        <v>0.95</v>
      </c>
      <c r="E31" s="87">
        <f>VLOOKUP(GRS!$A31,'Grism model 1.3-1.867'!$A$12:$C$53,3)^2</f>
        <v>0.77626577425043564</v>
      </c>
      <c r="F31" s="83">
        <f t="shared" si="7"/>
        <v>0.64427438085077682</v>
      </c>
      <c r="G31" s="83">
        <f t="shared" si="0"/>
        <v>0.90811793443107247</v>
      </c>
      <c r="H31" s="83">
        <f t="shared" si="1"/>
        <v>0.91394102245264897</v>
      </c>
      <c r="I31" s="89">
        <f t="shared" si="2"/>
        <v>0.98</v>
      </c>
      <c r="J31" s="46">
        <f>VLOOKUP($A31,'SWIR data'!$A$5:$K$795,11)/100</f>
        <v>0.8893895929564013</v>
      </c>
      <c r="K31" s="90">
        <f t="shared" si="8"/>
        <v>1.8911988198853349</v>
      </c>
      <c r="M31" s="6">
        <f t="shared" si="4"/>
        <v>0.43902439024390294</v>
      </c>
    </row>
    <row r="32" spans="1:13" ht="15">
      <c r="A32" s="79">
        <f t="shared" si="5"/>
        <v>1.6280487804878052</v>
      </c>
      <c r="B32" s="83">
        <f>IF($A32&lt;&gt;"",IF($D$5="pAu",VLOOKUP(A32,pAg!$A$2:$C$47,3),VLOOKUP(A32,pAg!$O$3:$P1222,2)),"")</f>
        <v>0.98104700193181826</v>
      </c>
      <c r="C32" s="87">
        <f>IF($A32&lt;&gt;"",1-VLOOKUP($M32,'AR sim'!$E$10:$F$38,2)*GRS!$D$10/'AR sim'!$D$42,"")</f>
        <v>0.99357142857142866</v>
      </c>
      <c r="D32" s="88">
        <f t="shared" si="6"/>
        <v>0.95</v>
      </c>
      <c r="E32" s="87">
        <f>VLOOKUP(GRS!$A32,'Grism model 1.3-1.867'!$A$12:$C$53,3)^2</f>
        <v>0.77711121125186589</v>
      </c>
      <c r="F32" s="83">
        <f t="shared" si="7"/>
        <v>0.64543189101303122</v>
      </c>
      <c r="G32" s="83">
        <f t="shared" si="0"/>
        <v>0.90875973152508038</v>
      </c>
      <c r="H32" s="83">
        <f t="shared" si="1"/>
        <v>0.91394102245264897</v>
      </c>
      <c r="I32" s="89">
        <f t="shared" si="2"/>
        <v>0.98</v>
      </c>
      <c r="J32" s="46">
        <f>VLOOKUP($A32,'SWIR data'!$A$5:$K$795,11)/100</f>
        <v>0.89150886128904316</v>
      </c>
      <c r="K32" s="90">
        <f t="shared" si="8"/>
        <v>1.8991110780087794</v>
      </c>
      <c r="M32" s="6">
        <f t="shared" si="4"/>
        <v>0.46341463414634199</v>
      </c>
    </row>
    <row r="33" spans="1:13" ht="15">
      <c r="A33" s="79">
        <f t="shared" si="5"/>
        <v>1.6426829268292686</v>
      </c>
      <c r="B33" s="83">
        <f>IF($A33&lt;&gt;"",IF($D$5="pAu",VLOOKUP(A33,pAg!$A$2:$C$47,3),VLOOKUP(A33,pAg!$O$3:$P1223,2)),"")</f>
        <v>0.98109174346363648</v>
      </c>
      <c r="C33" s="87">
        <f>IF($A33&lt;&gt;"",1-VLOOKUP($M33,'AR sim'!$E$10:$F$38,2)*GRS!$D$10/'AR sim'!$D$42,"")</f>
        <v>0.99292857142857149</v>
      </c>
      <c r="D33" s="88">
        <f t="shared" si="6"/>
        <v>0.95</v>
      </c>
      <c r="E33" s="87">
        <f>VLOOKUP(GRS!$A33,'Grism model 1.3-1.867'!$A$12:$C$53,3)^2</f>
        <v>0.77704059401062286</v>
      </c>
      <c r="F33" s="83">
        <f t="shared" si="7"/>
        <v>0.6430184929483006</v>
      </c>
      <c r="G33" s="83">
        <f t="shared" si="0"/>
        <v>0.90896697445605312</v>
      </c>
      <c r="H33" s="83">
        <f t="shared" si="1"/>
        <v>0.91039874683590172</v>
      </c>
      <c r="I33" s="89">
        <f t="shared" si="2"/>
        <v>0.98</v>
      </c>
      <c r="J33" s="46">
        <f>VLOOKUP($A33,'SWIR data'!$A$5:$K$795,11)/100</f>
        <v>0.89352191037805628</v>
      </c>
      <c r="K33" s="90">
        <f t="shared" si="8"/>
        <v>1.8962821296718384</v>
      </c>
      <c r="M33" s="6">
        <f t="shared" si="4"/>
        <v>0.48780487804878103</v>
      </c>
    </row>
    <row r="34" spans="1:13" ht="15">
      <c r="A34" s="79">
        <f t="shared" si="5"/>
        <v>1.6573170731707321</v>
      </c>
      <c r="B34" s="83">
        <f>IF($A34&lt;&gt;"",IF($D$5="pAu",VLOOKUP(A34,pAg!$A$2:$C$47,3),VLOOKUP(A34,pAg!$O$3:$P1224,2)),"")</f>
        <v>0.98119486164545444</v>
      </c>
      <c r="C34" s="87">
        <f>IF($A34&lt;&gt;"",1-VLOOKUP($M34,'AR sim'!$E$10:$F$38,2)*GRS!$D$10/'AR sim'!$D$42,"")</f>
        <v>0.99228571428571433</v>
      </c>
      <c r="D34" s="88">
        <f t="shared" si="6"/>
        <v>0.95</v>
      </c>
      <c r="E34" s="87">
        <f>VLOOKUP(GRS!$A34,'Grism model 1.3-1.867'!$A$12:$C$53,3)^2</f>
        <v>0.77610430972448485</v>
      </c>
      <c r="F34" s="83">
        <f t="shared" si="7"/>
        <v>0.64008914199356148</v>
      </c>
      <c r="G34" s="83">
        <f t="shared" si="0"/>
        <v>0.90944476222531234</v>
      </c>
      <c r="H34" s="83">
        <f t="shared" si="1"/>
        <v>0.90686791965145264</v>
      </c>
      <c r="I34" s="89">
        <f t="shared" si="2"/>
        <v>0.98</v>
      </c>
      <c r="J34" s="46">
        <f>VLOOKUP($A34,'SWIR data'!$A$5:$K$795,11)/100</f>
        <v>0.89504137038698728</v>
      </c>
      <c r="K34" s="90">
        <f t="shared" si="8"/>
        <v>1.8908533723834082</v>
      </c>
      <c r="M34" s="6">
        <f t="shared" si="4"/>
        <v>0.51219512195122008</v>
      </c>
    </row>
    <row r="35" spans="1:13" ht="15">
      <c r="A35" s="79">
        <f t="shared" si="5"/>
        <v>1.6719512195121955</v>
      </c>
      <c r="B35" s="83">
        <f>IF($A35&lt;&gt;"",IF($D$5="pAu",VLOOKUP(A35,pAg!$A$2:$C$47,3),VLOOKUP(A35,pAg!$O$3:$P1225,2)),"")</f>
        <v>0.98135039009545466</v>
      </c>
      <c r="C35" s="87">
        <f>IF($A35&lt;&gt;"",1-VLOOKUP($M35,'AR sim'!$E$10:$F$38,2)*GRS!$D$10/'AR sim'!$D$42,"")</f>
        <v>0.99292857142857149</v>
      </c>
      <c r="D35" s="88">
        <f t="shared" si="6"/>
        <v>0.95</v>
      </c>
      <c r="E35" s="87">
        <f>VLOOKUP(GRS!$A35,'Grism model 1.3-1.867'!$A$12:$C$53,3)^2</f>
        <v>0.77435249681751028</v>
      </c>
      <c r="F35" s="83">
        <f t="shared" si="7"/>
        <v>0.64163914507794206</v>
      </c>
      <c r="G35" s="83">
        <f t="shared" si="0"/>
        <v>0.91016576774317337</v>
      </c>
      <c r="H35" s="83">
        <f t="shared" si="1"/>
        <v>0.91039874683590172</v>
      </c>
      <c r="I35" s="89">
        <f t="shared" si="2"/>
        <v>0.98</v>
      </c>
      <c r="J35" s="46">
        <f>VLOOKUP($A35,'SWIR data'!$A$5:$K$795,11)/100</f>
        <v>0.89685810742763072</v>
      </c>
      <c r="K35" s="90">
        <f t="shared" si="8"/>
        <v>1.8992794644645972</v>
      </c>
      <c r="M35" s="6">
        <f t="shared" si="4"/>
        <v>0.53658536585365912</v>
      </c>
    </row>
    <row r="36" spans="1:13" ht="15">
      <c r="A36" s="79">
        <f t="shared" si="5"/>
        <v>1.6865853658536589</v>
      </c>
      <c r="B36" s="83">
        <f>IF($A36&lt;&gt;"",IF($D$5="pAu",VLOOKUP(A36,pAg!$A$2:$C$47,3),VLOOKUP(A36,pAg!$O$3:$P1226,2)),"")</f>
        <v>0.98147233186818184</v>
      </c>
      <c r="C36" s="87">
        <f>IF($A36&lt;&gt;"",1-VLOOKUP($M36,'AR sim'!$E$10:$F$38,2)*GRS!$D$10/'AR sim'!$D$42,"")</f>
        <v>0.99292857142857149</v>
      </c>
      <c r="D36" s="88">
        <f t="shared" si="6"/>
        <v>0.95</v>
      </c>
      <c r="E36" s="87">
        <f>VLOOKUP(GRS!$A36,'Grism model 1.3-1.867'!$A$12:$C$53,3)^2</f>
        <v>0.77183474812886754</v>
      </c>
      <c r="F36" s="83">
        <f t="shared" si="7"/>
        <v>0.63995035412071388</v>
      </c>
      <c r="G36" s="83">
        <f t="shared" si="0"/>
        <v>0.91073139045092855</v>
      </c>
      <c r="H36" s="83">
        <f t="shared" si="1"/>
        <v>0.91039874683590172</v>
      </c>
      <c r="I36" s="89">
        <f t="shared" si="2"/>
        <v>0.98</v>
      </c>
      <c r="J36" s="46">
        <f>VLOOKUP($A36,'SWIR data'!$A$5:$K$795,11)/100</f>
        <v>0.89822512980498859</v>
      </c>
      <c r="K36" s="90">
        <f t="shared" si="8"/>
        <v>1.8971678990510092</v>
      </c>
      <c r="M36" s="6">
        <f t="shared" si="4"/>
        <v>0.56097560975609817</v>
      </c>
    </row>
    <row r="37" spans="1:13" ht="15">
      <c r="A37" s="79">
        <f t="shared" si="5"/>
        <v>1.7012195121951224</v>
      </c>
      <c r="B37" s="83">
        <f>IF($A37&lt;&gt;"",IF($D$5="pAu",VLOOKUP(A37,pAg!$A$2:$C$47,3),VLOOKUP(A37,pAg!$O$3:$P1227,2)),"")</f>
        <v>0.98158312511818191</v>
      </c>
      <c r="C37" s="87">
        <f>IF($A37&lt;&gt;"",1-VLOOKUP($M37,'AR sim'!$E$10:$F$38,2)*GRS!$D$10/'AR sim'!$D$42,"")</f>
        <v>0.99357142857142866</v>
      </c>
      <c r="D37" s="88">
        <f t="shared" si="6"/>
        <v>0.95</v>
      </c>
      <c r="E37" s="87">
        <f>VLOOKUP(GRS!$A37,'Grism model 1.3-1.867'!$A$12:$C$53,3)^2</f>
        <v>0.76859985782041551</v>
      </c>
      <c r="F37" s="83">
        <f t="shared" si="7"/>
        <v>0.64010893449181594</v>
      </c>
      <c r="G37" s="83">
        <f t="shared" si="0"/>
        <v>0.91124554490395393</v>
      </c>
      <c r="H37" s="83">
        <f t="shared" si="1"/>
        <v>0.91394102245264897</v>
      </c>
      <c r="I37" s="89">
        <f t="shared" si="2"/>
        <v>0.98</v>
      </c>
      <c r="J37" s="46">
        <f>VLOOKUP($A37,'SWIR data'!$A$5:$K$795,11)/100</f>
        <v>0.89985269056502515</v>
      </c>
      <c r="K37" s="90">
        <f t="shared" si="8"/>
        <v>1.9010764903823731</v>
      </c>
      <c r="M37" s="6">
        <f t="shared" si="4"/>
        <v>0.58536585365853722</v>
      </c>
    </row>
    <row r="38" spans="1:13" ht="15">
      <c r="A38" s="79">
        <f t="shared" si="5"/>
        <v>1.7158536585365858</v>
      </c>
      <c r="B38" s="83">
        <f>IF($A38&lt;&gt;"",IF($D$5="pAu",VLOOKUP(A38,pAg!$A$2:$C$47,3),VLOOKUP(A38,pAg!$O$3:$P1228,2)),"")</f>
        <v>0.98171973138181812</v>
      </c>
      <c r="C38" s="87">
        <f>IF($A38&lt;&gt;"",1-VLOOKUP($M38,'AR sim'!$E$10:$F$38,2)*GRS!$D$10/'AR sim'!$D$42,"")</f>
        <v>0.99421428571428572</v>
      </c>
      <c r="D38" s="88">
        <f t="shared" si="6"/>
        <v>0.95</v>
      </c>
      <c r="E38" s="87">
        <f>VLOOKUP(GRS!$A38,'Grism model 1.3-1.867'!$A$12:$C$53,3)^2</f>
        <v>0.7646956084111558</v>
      </c>
      <c r="F38" s="83">
        <f t="shared" si="7"/>
        <v>0.63977872737282682</v>
      </c>
      <c r="G38" s="83">
        <f t="shared" si="0"/>
        <v>0.91187980856889972</v>
      </c>
      <c r="H38" s="83">
        <f t="shared" si="1"/>
        <v>0.91749477617897557</v>
      </c>
      <c r="I38" s="89">
        <f t="shared" si="2"/>
        <v>0.98</v>
      </c>
      <c r="J38" s="46">
        <f>VLOOKUP($A38,'SWIR data'!$A$5:$K$795,11)/100</f>
        <v>0.90138949675511559</v>
      </c>
      <c r="K38" s="90">
        <f t="shared" si="8"/>
        <v>1.9033408628575628</v>
      </c>
      <c r="M38" s="6">
        <f t="shared" si="4"/>
        <v>0.60975609756097626</v>
      </c>
    </row>
    <row r="39" spans="1:13" ht="15">
      <c r="A39" s="79">
        <f t="shared" si="5"/>
        <v>1.7304878048780492</v>
      </c>
      <c r="B39" s="83">
        <f>IF($A39&lt;&gt;"",IF($D$5="pAu",VLOOKUP(A39,pAg!$A$2:$C$47,3),VLOOKUP(A39,pAg!$O$3:$P1229,2)),"")</f>
        <v>0.98179886101818181</v>
      </c>
      <c r="C39" s="87">
        <f>IF($A39&lt;&gt;"",1-VLOOKUP($M39,'AR sim'!$E$10:$F$38,2)*GRS!$D$10/'AR sim'!$D$42,"")</f>
        <v>0.99421428571428572</v>
      </c>
      <c r="D39" s="88">
        <f t="shared" si="6"/>
        <v>0.95</v>
      </c>
      <c r="E39" s="87">
        <f>VLOOKUP(GRS!$A39,'Grism model 1.3-1.867'!$A$12:$C$53,3)^2</f>
        <v>0.76016859306744711</v>
      </c>
      <c r="F39" s="83">
        <f t="shared" si="7"/>
        <v>0.6362475783850835</v>
      </c>
      <c r="G39" s="83">
        <f t="shared" si="0"/>
        <v>0.91224736943376683</v>
      </c>
      <c r="H39" s="83">
        <f t="shared" si="1"/>
        <v>0.91749477617897557</v>
      </c>
      <c r="I39" s="89">
        <f t="shared" si="2"/>
        <v>0.98</v>
      </c>
      <c r="J39" s="46">
        <f>VLOOKUP($A39,'SWIR data'!$A$5:$K$795,11)/100</f>
        <v>0.90254777384774132</v>
      </c>
      <c r="K39" s="90">
        <f t="shared" si="8"/>
        <v>1.8952679755283068</v>
      </c>
      <c r="M39" s="6">
        <f t="shared" si="4"/>
        <v>0.63414634146341531</v>
      </c>
    </row>
    <row r="40" spans="1:13" ht="15">
      <c r="A40" s="79">
        <f t="shared" si="5"/>
        <v>1.7451219512195126</v>
      </c>
      <c r="B40" s="83">
        <f>IF($A40&lt;&gt;"",IF($D$5="pAu",VLOOKUP(A40,pAg!$A$2:$C$47,3),VLOOKUP(A40,pAg!$O$3:$P1230,2)),"")</f>
        <v>0.98191481650909085</v>
      </c>
      <c r="C40" s="87">
        <f>IF($A40&lt;&gt;"",1-VLOOKUP($M40,'AR sim'!$E$10:$F$38,2)*GRS!$D$10/'AR sim'!$D$42,"")</f>
        <v>0.99485714285714288</v>
      </c>
      <c r="D40" s="88">
        <f t="shared" si="6"/>
        <v>0.95</v>
      </c>
      <c r="E40" s="87">
        <f>VLOOKUP(GRS!$A40,'Grism model 1.3-1.867'!$A$12:$C$53,3)^2</f>
        <v>0.75506406978131124</v>
      </c>
      <c r="F40" s="83">
        <f t="shared" si="7"/>
        <v>0.63480569031140266</v>
      </c>
      <c r="G40" s="83">
        <f t="shared" si="0"/>
        <v>0.91278620220822881</v>
      </c>
      <c r="H40" s="83">
        <f t="shared" si="1"/>
        <v>0.92106003774982659</v>
      </c>
      <c r="I40" s="89">
        <f t="shared" si="2"/>
        <v>0.98</v>
      </c>
      <c r="J40" s="46">
        <f>VLOOKUP($A40,'SWIR data'!$A$5:$K$795,11)/100</f>
        <v>0.90391087170163364</v>
      </c>
      <c r="K40" s="90">
        <f t="shared" si="8"/>
        <v>1.8938287425990743</v>
      </c>
      <c r="M40" s="6">
        <f t="shared" si="4"/>
        <v>0.65853658536585435</v>
      </c>
    </row>
    <row r="41" spans="1:13" ht="15">
      <c r="A41" s="79">
        <f t="shared" si="5"/>
        <v>1.7597560975609761</v>
      </c>
      <c r="B41" s="83">
        <f>IF($A41&lt;&gt;"",IF($D$5="pAu",VLOOKUP(A41,pAg!$A$2:$C$47,3),VLOOKUP(A41,pAg!$O$3:$P1231,2)),"")</f>
        <v>0.9820514616681818</v>
      </c>
      <c r="C41" s="87">
        <f>IF($A41&lt;&gt;"",1-VLOOKUP($M41,'AR sim'!$E$10:$F$38,2)*GRS!$D$10/'AR sim'!$D$42,"")</f>
        <v>0.99550000000000005</v>
      </c>
      <c r="D41" s="88">
        <f t="shared" si="6"/>
        <v>0.95</v>
      </c>
      <c r="E41" s="87">
        <f>VLOOKUP(GRS!$A41,'Grism model 1.3-1.867'!$A$12:$C$53,3)^2</f>
        <v>0.74942584422606162</v>
      </c>
      <c r="F41" s="83">
        <f t="shared" si="7"/>
        <v>0.63295245570380865</v>
      </c>
      <c r="G41" s="83">
        <f t="shared" si="0"/>
        <v>0.91342150444258297</v>
      </c>
      <c r="H41" s="83">
        <f t="shared" si="1"/>
        <v>0.92463683695788068</v>
      </c>
      <c r="I41" s="89">
        <f t="shared" si="2"/>
        <v>0.98</v>
      </c>
      <c r="J41" s="46">
        <f>VLOOKUP($A41,'SWIR data'!$A$5:$K$795,11)/100</f>
        <v>0.90520006189791646</v>
      </c>
      <c r="K41" s="90">
        <f t="shared" si="8"/>
        <v>1.8909931113618632</v>
      </c>
      <c r="M41" s="6">
        <f t="shared" si="4"/>
        <v>0.6829268292682934</v>
      </c>
    </row>
    <row r="42" spans="1:13" ht="15">
      <c r="A42" s="79">
        <f t="shared" si="5"/>
        <v>1.7743902439024395</v>
      </c>
      <c r="B42" s="83">
        <f>IF($A42&lt;&gt;"",IF($D$5="pAu",VLOOKUP(A42,pAg!$A$2:$C$47,3),VLOOKUP(A42,pAg!$O$3:$P1232,2)),"")</f>
        <v>0.98209545152272726</v>
      </c>
      <c r="C42" s="87">
        <f>IF($A42&lt;&gt;"",1-VLOOKUP($M42,'AR sim'!$E$10:$F$38,2)*GRS!$D$10/'AR sim'!$D$42,"")</f>
        <v>0.99550000000000005</v>
      </c>
      <c r="D42" s="88">
        <f t="shared" si="6"/>
        <v>0.95</v>
      </c>
      <c r="E42" s="87">
        <f>VLOOKUP(GRS!$A42,'Grism model 1.3-1.867'!$A$12:$C$53,3)^2</f>
        <v>0.74329617825582839</v>
      </c>
      <c r="F42" s="83">
        <f t="shared" si="7"/>
        <v>0.62791605793923</v>
      </c>
      <c r="G42" s="83">
        <f t="shared" si="0"/>
        <v>0.91362610104773223</v>
      </c>
      <c r="H42" s="83">
        <f t="shared" si="1"/>
        <v>0.92463683695788068</v>
      </c>
      <c r="I42" s="89">
        <f t="shared" si="2"/>
        <v>0.98</v>
      </c>
      <c r="J42" s="46">
        <f>VLOOKUP($A42,'SWIR data'!$A$5:$K$795,11)/100</f>
        <v>0.90616473893825011</v>
      </c>
      <c r="K42" s="90">
        <f t="shared" si="8"/>
        <v>1.8779457011234721</v>
      </c>
      <c r="M42" s="6">
        <f t="shared" si="4"/>
        <v>0.70731707317073245</v>
      </c>
    </row>
    <row r="43" spans="1:13" ht="15">
      <c r="A43" s="79">
        <f t="shared" si="5"/>
        <v>1.7890243902439029</v>
      </c>
      <c r="B43" s="83">
        <f>IF($A43&lt;&gt;"",IF($D$5="pAu",VLOOKUP(A43,pAg!$A$2:$C$47,3),VLOOKUP(A43,pAg!$O$3:$P1233,2)),"")</f>
        <v>0.98216820954090933</v>
      </c>
      <c r="C43" s="87">
        <f>IF($A43&lt;&gt;"",1-VLOOKUP($M43,'AR sim'!$E$10:$F$38,2)*GRS!$D$10/'AR sim'!$D$42,"")</f>
        <v>0.99614285714285722</v>
      </c>
      <c r="D43" s="88">
        <f t="shared" si="6"/>
        <v>0.95</v>
      </c>
      <c r="E43" s="87">
        <f>VLOOKUP(GRS!$A43,'Grism model 1.3-1.867'!$A$12:$C$53,3)^2</f>
        <v>0.73671572120556261</v>
      </c>
      <c r="F43" s="83">
        <f t="shared" si="7"/>
        <v>0.62500380129307931</v>
      </c>
      <c r="G43" s="83">
        <f t="shared" si="0"/>
        <v>0.91396457871008341</v>
      </c>
      <c r="H43" s="83">
        <f t="shared" si="1"/>
        <v>0.92822520365362693</v>
      </c>
      <c r="I43" s="89">
        <f t="shared" si="2"/>
        <v>0.98</v>
      </c>
      <c r="J43" s="46">
        <f>VLOOKUP($A43,'SWIR data'!$A$5:$K$795,11)/100</f>
        <v>0.90731439385389179</v>
      </c>
      <c r="K43" s="90">
        <f t="shared" si="8"/>
        <v>1.8716073500563994</v>
      </c>
      <c r="M43" s="6">
        <f t="shared" si="4"/>
        <v>0.73170731707317149</v>
      </c>
    </row>
    <row r="44" spans="1:13" ht="15">
      <c r="A44" s="79">
        <f t="shared" si="5"/>
        <v>1.8036585365853663</v>
      </c>
      <c r="B44" s="83">
        <f>IF($A44&lt;&gt;"",IF($D$5="pAu",VLOOKUP(A44,pAg!$A$2:$C$47,3),VLOOKUP(A44,pAg!$O$3:$P1234,2)),"")</f>
        <v>0.98208967147727266</v>
      </c>
      <c r="C44" s="87">
        <f>IF($A44&lt;&gt;"",1-VLOOKUP($M44,'AR sim'!$E$10:$F$38,2)*GRS!$D$10/'AR sim'!$D$42,"")</f>
        <v>0.99582142857142864</v>
      </c>
      <c r="D44" s="88">
        <f t="shared" si="6"/>
        <v>0.95</v>
      </c>
      <c r="E44" s="87">
        <f>VLOOKUP(GRS!$A44,'Grism model 1.3-1.867'!$A$12:$C$53,3)^2</f>
        <v>0.72972346134472366</v>
      </c>
      <c r="F44" s="83">
        <f t="shared" si="7"/>
        <v>0.61762723344848691</v>
      </c>
      <c r="G44" s="83">
        <f t="shared" si="0"/>
        <v>0.91359921599177718</v>
      </c>
      <c r="H44" s="83">
        <f t="shared" si="1"/>
        <v>0.92642957250187652</v>
      </c>
      <c r="I44" s="89">
        <f t="shared" si="2"/>
        <v>0.98</v>
      </c>
      <c r="J44" s="46">
        <f>VLOOKUP($A44,'SWIR data'!$A$5:$K$795,11)/100</f>
        <v>0.90817604611944003</v>
      </c>
      <c r="K44" s="90">
        <f t="shared" si="8"/>
        <v>1.8512742603690908</v>
      </c>
      <c r="M44" s="6">
        <f t="shared" si="4"/>
        <v>0.75609756097561065</v>
      </c>
    </row>
    <row r="45" spans="1:13" ht="15">
      <c r="A45" s="79">
        <f t="shared" si="5"/>
        <v>1.8182926829268298</v>
      </c>
      <c r="B45" s="83">
        <f>IF($A45&lt;&gt;"",IF($D$5="pAu",VLOOKUP(A45,pAg!$A$2:$C$47,3),VLOOKUP(A45,pAg!$O$3:$P1213,2)),"")</f>
        <v>0.98183853799999998</v>
      </c>
      <c r="C45" s="87">
        <f>IF($A45&lt;&gt;"",1-VLOOKUP($M45,'AR sim'!$E$10:$F$38,2)*GRS!$D$10/'AR sim'!$D$42,"")</f>
        <v>0.99582142857142864</v>
      </c>
      <c r="D45" s="88">
        <f t="shared" si="6"/>
        <v>0.95</v>
      </c>
      <c r="E45" s="87">
        <f>VLOOKUP(GRS!$A45,'Grism model 1.3-1.867'!$A$12:$C$53,3)^2</f>
        <v>0.7223566950364404</v>
      </c>
      <c r="F45" s="83">
        <f t="shared" si="7"/>
        <v>0.61061080445041827</v>
      </c>
      <c r="G45" s="83">
        <f t="shared" si="0"/>
        <v>0.91243171548124979</v>
      </c>
      <c r="H45" s="83">
        <f t="shared" si="1"/>
        <v>0.92642957250187652</v>
      </c>
      <c r="I45" s="89">
        <f t="shared" si="2"/>
        <v>0.98</v>
      </c>
      <c r="J45" s="46">
        <f>VLOOKUP($A45,'SWIR data'!$A$5:$K$795,11)/100</f>
        <v>0.90919404479801957</v>
      </c>
      <c r="K45" s="90">
        <f t="shared" ref="K45" si="9">IF($A45&lt;&gt;"",F45*$J45*$I45*$N$5,"")</f>
        <v>1.8322948026786645</v>
      </c>
      <c r="M45" s="6">
        <f t="shared" si="4"/>
        <v>0.7804878048780497</v>
      </c>
    </row>
    <row r="46" spans="1:13" ht="15">
      <c r="A46" s="79">
        <f t="shared" si="5"/>
        <v>1.8329268292682932</v>
      </c>
      <c r="B46" s="83">
        <f>IF($A46&lt;&gt;"",IF($D$5="pAu",VLOOKUP(A46,pAg!$A$2:$C$47,3),VLOOKUP(A46,pAg!$O$3:$P1214,2)),"")</f>
        <v>0.9818580472363635</v>
      </c>
      <c r="C46" s="87">
        <f>IF($A46&lt;&gt;"",1-VLOOKUP($M46,'AR sim'!$E$10:$F$38,2)*GRS!$D$10/'AR sim'!$D$42,"")</f>
        <v>0.99550000000000005</v>
      </c>
      <c r="D46" s="88">
        <f t="shared" si="6"/>
        <v>0.95</v>
      </c>
      <c r="E46" s="87">
        <f>VLOOKUP(GRS!$A46,'Grism model 1.3-1.867'!$A$12:$C$53,3)^2</f>
        <v>0.7146510113506912</v>
      </c>
      <c r="F46" s="83">
        <f t="shared" si="7"/>
        <v>0.60298807543841593</v>
      </c>
      <c r="G46" s="83">
        <f t="shared" si="0"/>
        <v>0.9125223696608189</v>
      </c>
      <c r="H46" s="83">
        <f t="shared" si="1"/>
        <v>0.92463683695788068</v>
      </c>
      <c r="I46" s="89">
        <f t="shared" si="2"/>
        <v>0.98</v>
      </c>
      <c r="J46" s="46">
        <f>VLOOKUP($A46,'SWIR data'!$A$5:$K$795,11)/100</f>
        <v>0.91013622786084714</v>
      </c>
      <c r="K46" s="90">
        <f t="shared" ref="K46:K50" si="10">IF($A46&lt;&gt;"",F46*$J46*$I46*$N$5,"")</f>
        <v>1.8112959167910192</v>
      </c>
      <c r="M46" s="6">
        <f t="shared" si="4"/>
        <v>0.80487804878048874</v>
      </c>
    </row>
    <row r="47" spans="1:13" ht="15">
      <c r="A47" s="79">
        <f t="shared" si="5"/>
        <v>1.8475609756097566</v>
      </c>
      <c r="B47" s="83">
        <f>IF($A47&lt;&gt;"",IF($D$5="pAu",VLOOKUP(A47,pAg!$A$2:$C$47,3),VLOOKUP(A47,pAg!$O$3:$P1215,2)),"")</f>
        <v>0.98188445905909094</v>
      </c>
      <c r="C47" s="87">
        <f>IF($A47&lt;&gt;"",1-VLOOKUP($M47,'AR sim'!$E$10:$F$38,2)*GRS!$D$10/'AR sim'!$D$42,"")</f>
        <v>0.99517857142857147</v>
      </c>
      <c r="D47" s="88">
        <f t="shared" si="6"/>
        <v>0.95</v>
      </c>
      <c r="E47" s="87">
        <f>VLOOKUP(GRS!$A47,'Grism model 1.3-1.867'!$A$12:$C$53,3)^2</f>
        <v>0.70664029007200246</v>
      </c>
      <c r="F47" s="83">
        <f t="shared" si="7"/>
        <v>0.59515492028092021</v>
      </c>
      <c r="G47" s="83">
        <f t="shared" si="0"/>
        <v>0.91264510978507341</v>
      </c>
      <c r="H47" s="83">
        <f t="shared" si="1"/>
        <v>0.92284699328490349</v>
      </c>
      <c r="I47" s="89">
        <f t="shared" si="2"/>
        <v>0.98</v>
      </c>
      <c r="J47" s="46">
        <f>VLOOKUP($A47,'SWIR data'!$A$5:$K$795,11)/100</f>
        <v>0.91085523900458443</v>
      </c>
      <c r="K47" s="90">
        <f t="shared" si="10"/>
        <v>1.7891785035333494</v>
      </c>
      <c r="M47" s="6">
        <f t="shared" si="4"/>
        <v>0.82926829268292779</v>
      </c>
    </row>
    <row r="48" spans="1:13" ht="15">
      <c r="A48" s="79">
        <f t="shared" si="5"/>
        <v>1.8621951219512201</v>
      </c>
      <c r="B48" s="83">
        <f>IF($A48&lt;&gt;"",IF($D$5="pAu",VLOOKUP(A48,pAg!$A$2:$C$47,3),VLOOKUP(A48,pAg!$O$3:$P1216,2)),"")</f>
        <v>0.98193660700909102</v>
      </c>
      <c r="C48" s="87">
        <f>IF($A48&lt;&gt;"",1-VLOOKUP($M48,'AR sim'!$E$10:$F$38,2)*GRS!$D$10/'AR sim'!$D$42,"")</f>
        <v>0.99517857142857147</v>
      </c>
      <c r="D48" s="88">
        <f t="shared" si="6"/>
        <v>0.95</v>
      </c>
      <c r="E48" s="87">
        <f>VLOOKUP(GRS!$A48,'Grism model 1.3-1.867'!$A$12:$C$53,3)^2</f>
        <v>0.69835671122725984</v>
      </c>
      <c r="F48" s="83">
        <f t="shared" si="7"/>
        <v>0.5883344343157807</v>
      </c>
      <c r="G48" s="83">
        <f t="shared" si="0"/>
        <v>0.91288748874662839</v>
      </c>
      <c r="H48" s="83">
        <f t="shared" si="1"/>
        <v>0.92284699328490349</v>
      </c>
      <c r="I48" s="89">
        <f t="shared" si="2"/>
        <v>0.98</v>
      </c>
      <c r="J48" s="46">
        <f>VLOOKUP($A48,'SWIR data'!$A$5:$K$795,11)/100</f>
        <v>0.91169156447620547</v>
      </c>
      <c r="K48" s="90">
        <f t="shared" si="10"/>
        <v>1.7702984406459932</v>
      </c>
      <c r="M48" s="6">
        <f t="shared" si="4"/>
        <v>0.85365853658536683</v>
      </c>
    </row>
    <row r="49" spans="1:13" ht="15">
      <c r="A49" s="79">
        <f t="shared" si="5"/>
        <v>1.8768292682926835</v>
      </c>
      <c r="B49" s="83">
        <f>IF($A49&lt;&gt;"",IF($D$5="pAu",VLOOKUP(A49,pAg!$A$2:$C$47,3),VLOOKUP(A49,pAg!$O$3:$P1217,2)),"")</f>
        <v>0.98208318950454521</v>
      </c>
      <c r="C49" s="87">
        <f>IF($A49&lt;&gt;"",1-VLOOKUP($M49,'AR sim'!$E$10:$F$38,2)*GRS!$D$10/'AR sim'!$D$42,"")</f>
        <v>0.99485714285714288</v>
      </c>
      <c r="D49" s="88">
        <f t="shared" si="6"/>
        <v>0.95</v>
      </c>
      <c r="E49" s="87">
        <f>VLOOKUP(GRS!$A49,'Grism model 1.3-1.867'!$A$12:$C$53,3)^2</f>
        <v>0.68983077443581009</v>
      </c>
      <c r="F49" s="83">
        <f t="shared" si="7"/>
        <v>0.58045945661727982</v>
      </c>
      <c r="G49" s="83">
        <f t="shared" si="0"/>
        <v>0.91356906677423233</v>
      </c>
      <c r="H49" s="83">
        <f t="shared" si="1"/>
        <v>0.92106003774982659</v>
      </c>
      <c r="I49" s="89">
        <f t="shared" si="2"/>
        <v>0.98</v>
      </c>
      <c r="J49" s="46">
        <f>VLOOKUP($A49,'SWIR data'!$A$5:$K$795,11)/100</f>
        <v>0.91247902851664564</v>
      </c>
      <c r="K49" s="90">
        <f t="shared" si="10"/>
        <v>1.7481112407706616</v>
      </c>
      <c r="M49" s="6">
        <f t="shared" si="4"/>
        <v>0.87804878048780588</v>
      </c>
    </row>
    <row r="50" spans="1:13" ht="15">
      <c r="A50" s="79">
        <f t="shared" si="5"/>
        <v>1.8914634146341469</v>
      </c>
      <c r="B50" s="83">
        <f>IF($A50&lt;&gt;"",IF($D$5="pAu",VLOOKUP(A50,pAg!$A$2:$C$47,3),VLOOKUP(A50,pAg!$O$3:$P1218,2)),"")</f>
        <v>0.98203574519090919</v>
      </c>
      <c r="C50" s="87">
        <f>IF($A50&lt;&gt;"",1-VLOOKUP($M50,'AR sim'!$E$10:$F$38,2)*GRS!$D$10/'AR sim'!$D$42,"")</f>
        <v>0.99292857142857149</v>
      </c>
      <c r="D50" s="88">
        <f t="shared" si="6"/>
        <v>0.95</v>
      </c>
      <c r="E50" s="87">
        <f>VLOOKUP(GRS!$A50,'Grism model 1.3-1.867'!$A$12:$C$53,3)^2</f>
        <v>0.6810913265510351</v>
      </c>
      <c r="F50" s="83">
        <f t="shared" si="7"/>
        <v>0.56633510262967179</v>
      </c>
      <c r="G50" s="83">
        <f t="shared" si="0"/>
        <v>0.91334841606895323</v>
      </c>
      <c r="H50" s="83">
        <f t="shared" si="1"/>
        <v>0.91039874683590172</v>
      </c>
      <c r="I50" s="89">
        <f t="shared" si="2"/>
        <v>0.98</v>
      </c>
      <c r="J50" s="46">
        <f>VLOOKUP($A50,'SWIR data'!$A$5:$K$795,11)/100</f>
        <v>0.91307179123515436</v>
      </c>
      <c r="K50" s="90">
        <f t="shared" si="10"/>
        <v>1.7066823191062914</v>
      </c>
      <c r="M50" s="6">
        <f t="shared" si="4"/>
        <v>0.90243902439024493</v>
      </c>
    </row>
    <row r="51" spans="1:13" ht="15">
      <c r="A51" s="79">
        <f t="shared" si="5"/>
        <v>1.9060975609756103</v>
      </c>
      <c r="B51" s="83">
        <f>IF($A51&lt;&gt;"",IF($D$5="pAu",VLOOKUP(A51,pAg!$A$2:$C$47,3),VLOOKUP(A51,pAg!$O$3:$P1219,2)),"")</f>
        <v>0.98202926140909097</v>
      </c>
      <c r="C51" s="87">
        <f>IF($A51&lt;&gt;"",1-VLOOKUP($M51,'AR sim'!$E$10:$F$38,2)*GRS!$D$10/'AR sim'!$D$42,"")</f>
        <v>0.99292857142857149</v>
      </c>
      <c r="D51" s="88">
        <f t="shared" si="6"/>
        <v>0.95</v>
      </c>
      <c r="E51" s="87">
        <f>VLOOKUP(GRS!$A51,'Grism model 1.3-1.867'!$A$12:$C$53,3)^2</f>
        <v>0.67216559621943472</v>
      </c>
      <c r="F51" s="83">
        <f t="shared" si="7"/>
        <v>0.55889480684445547</v>
      </c>
      <c r="G51" s="83">
        <f t="shared" si="0"/>
        <v>0.91331826506026903</v>
      </c>
      <c r="H51" s="83">
        <f t="shared" si="1"/>
        <v>0.91039874683590172</v>
      </c>
      <c r="I51" s="89">
        <f t="shared" si="2"/>
        <v>0.98</v>
      </c>
      <c r="J51" s="46">
        <f>VLOOKUP($A51,'SWIR data'!$A$5:$K$795,11)/100</f>
        <v>0.91376112608708682</v>
      </c>
      <c r="K51" s="90">
        <f t="shared" ref="K51:K52" si="11">IF($A51&lt;&gt;"",F51*$J51*$I51*$N$5,"")</f>
        <v>1.6855321274592021</v>
      </c>
      <c r="M51" s="6">
        <f t="shared" si="4"/>
        <v>0.92682926829268397</v>
      </c>
    </row>
    <row r="52" spans="1:13" ht="15">
      <c r="A52" s="79">
        <f t="shared" si="5"/>
        <v>1.9207317073170738</v>
      </c>
      <c r="B52" s="83">
        <f>IF($A52&lt;&gt;"",IF($D$5="pAu",VLOOKUP(A52,pAg!$A$2:$C$47,3),VLOOKUP(A52,pAg!$O$3:$P1220,2)),"")</f>
        <v>0.98213773450000008</v>
      </c>
      <c r="C52" s="87">
        <f>IF($A52&lt;&gt;"",1-VLOOKUP($M52,'AR sim'!$E$10:$F$38,2)*GRS!$D$10/'AR sim'!$D$42,"")</f>
        <v>0.99099999999999999</v>
      </c>
      <c r="D52" s="88">
        <f t="shared" si="6"/>
        <v>0.95</v>
      </c>
      <c r="E52" s="87">
        <f>VLOOKUP(GRS!$A52,'Grism model 1.3-1.867'!$A$12:$C$53,3)^2</f>
        <v>0.66307923412940473</v>
      </c>
      <c r="F52" s="83">
        <f t="shared" si="7"/>
        <v>0.54524657456674042</v>
      </c>
      <c r="G52" s="83">
        <f t="shared" si="0"/>
        <v>0.91382279352889995</v>
      </c>
      <c r="H52" s="83">
        <f t="shared" si="1"/>
        <v>0.89984049215817552</v>
      </c>
      <c r="I52" s="89">
        <f t="shared" si="2"/>
        <v>0.98</v>
      </c>
      <c r="J52" s="46">
        <f>VLOOKUP($A52,'SWIR data'!$A$5:$K$795,11)/100</f>
        <v>0.9142751204093762</v>
      </c>
      <c r="K52" s="90">
        <f t="shared" si="11"/>
        <v>1.6452963348225591</v>
      </c>
      <c r="M52" s="6">
        <f t="shared" si="4"/>
        <v>0.95121951219512302</v>
      </c>
    </row>
    <row r="53" spans="1:13" ht="15">
      <c r="A53" s="79">
        <f t="shared" si="5"/>
        <v>1.9353658536585372</v>
      </c>
      <c r="B53" s="83">
        <f>IF($A53&lt;&gt;"",IF($D$5="pAu",VLOOKUP(A53,pAg!$A$2:$C$47,3),VLOOKUP(A53,pAg!$O$3:$P1221,2)),"")</f>
        <v>0.98227186773636377</v>
      </c>
      <c r="C53" s="87">
        <f>IF($A53&lt;&gt;"",1-VLOOKUP($M53,'AR sim'!$E$10:$F$38,2)*GRS!$D$10/'AR sim'!$D$42,"")</f>
        <v>0.9890714285714286</v>
      </c>
      <c r="D53" s="88">
        <f t="shared" si="6"/>
        <v>0.95</v>
      </c>
      <c r="E53" s="87">
        <f>VLOOKUP(GRS!$A53,'Grism model 1.3-1.867'!$A$12:$C$53,3)^2</f>
        <v>0.65385635785752472</v>
      </c>
      <c r="F53" s="83">
        <f t="shared" si="7"/>
        <v>0.53177807260180421</v>
      </c>
      <c r="G53" s="83">
        <f t="shared" si="0"/>
        <v>0.91444698038966321</v>
      </c>
      <c r="H53" s="83">
        <f t="shared" si="1"/>
        <v>0.88938447553566502</v>
      </c>
      <c r="I53" s="89">
        <f t="shared" si="2"/>
        <v>0.98</v>
      </c>
      <c r="J53" s="46">
        <f>VLOOKUP($A53,'SWIR data'!$A$5:$K$795,11)/100</f>
        <v>0.91488415497243936</v>
      </c>
      <c r="K53" s="90">
        <f t="shared" ref="K53:K54" si="12">IF($A53&lt;&gt;"",F53*$J53*$I53*$N$5,"")</f>
        <v>1.6057236882124062</v>
      </c>
      <c r="M53" s="6">
        <f t="shared" si="4"/>
        <v>0.97560975609756206</v>
      </c>
    </row>
    <row r="54" spans="1:13" ht="15">
      <c r="A54" s="79">
        <f t="shared" si="5"/>
        <v>1.9500000000000006</v>
      </c>
      <c r="B54" s="83">
        <f>IF($A54&lt;&gt;"",IF($D$5="pAu",VLOOKUP(A54,pAg!$A$2:$C$47,3),VLOOKUP(A54,pAg!$O$3:$P1222,2)),"")</f>
        <v>0.98279572799999992</v>
      </c>
      <c r="C54" s="87">
        <f>IF($A54&lt;&gt;"",1-VLOOKUP($M54,'AR sim'!$E$10:$F$38,2)*GRS!$D$10/'AR sim'!$D$42,"")</f>
        <v>0.9871428571428571</v>
      </c>
      <c r="D54" s="88">
        <f t="shared" si="6"/>
        <v>0.95</v>
      </c>
      <c r="E54" s="87">
        <f>VLOOKUP(GRS!$A54,'Grism model 1.3-1.867'!$A$12:$C$53,3)^2</f>
        <v>0.64451960034509648</v>
      </c>
      <c r="F54" s="83">
        <f t="shared" si="7"/>
        <v>0.51946474558745392</v>
      </c>
      <c r="G54" s="83">
        <f t="shared" si="0"/>
        <v>0.91688802388043744</v>
      </c>
      <c r="H54" s="83">
        <f t="shared" si="1"/>
        <v>0.87902990343378906</v>
      </c>
      <c r="I54" s="89">
        <f t="shared" si="2"/>
        <v>0.98</v>
      </c>
      <c r="J54" s="46">
        <f>VLOOKUP($A54,'SWIR data'!$A$5:$K$795,11)/100</f>
        <v>0.91545252291562884</v>
      </c>
      <c r="K54" s="90">
        <f t="shared" si="12"/>
        <v>1.5695175897146048</v>
      </c>
      <c r="M54" s="6">
        <f t="shared" si="4"/>
        <v>1.0000000000000011</v>
      </c>
    </row>
    <row r="55" spans="1:13" ht="15">
      <c r="A55" s="80" t="s">
        <v>335</v>
      </c>
      <c r="B55" s="81">
        <f>AVERAGE(B13:B54)</f>
        <v>0.98073191803852788</v>
      </c>
      <c r="C55" s="81">
        <f t="shared" ref="C55:K55" si="13">AVERAGE(C13:C54)</f>
        <v>0.99315816326530615</v>
      </c>
      <c r="D55" s="81">
        <f t="shared" si="13"/>
        <v>0.95000000000000018</v>
      </c>
      <c r="E55" s="81">
        <f t="shared" si="13"/>
        <v>0.71842893054351575</v>
      </c>
      <c r="F55" s="81">
        <f t="shared" si="13"/>
        <v>0.59521944855648579</v>
      </c>
      <c r="G55" s="81">
        <f t="shared" si="13"/>
        <v>0.9073205564051372</v>
      </c>
      <c r="H55" s="81">
        <f t="shared" si="13"/>
        <v>0.91182603767812997</v>
      </c>
      <c r="I55" s="81">
        <f t="shared" si="13"/>
        <v>0.97999999999999954</v>
      </c>
      <c r="J55" s="81">
        <f t="shared" si="13"/>
        <v>0.88697136279753963</v>
      </c>
      <c r="K55" s="81">
        <f t="shared" si="13"/>
        <v>1.7446669634086658</v>
      </c>
    </row>
    <row r="56" spans="1:13" ht="15">
      <c r="A56" s="82" t="s">
        <v>370</v>
      </c>
      <c r="B56" s="83">
        <f>STDEV(B13:B54)</f>
        <v>1.4455893446650642E-3</v>
      </c>
      <c r="C56" s="83">
        <f t="shared" ref="C56:K56" si="14">STDEV(C13:C54)</f>
        <v>3.4910924735003794E-3</v>
      </c>
      <c r="D56" s="83">
        <f t="shared" si="14"/>
        <v>1.8617363201213607E-8</v>
      </c>
      <c r="E56" s="83">
        <f t="shared" si="14"/>
        <v>5.3786980419785559E-2</v>
      </c>
      <c r="F56" s="83">
        <f t="shared" si="14"/>
        <v>5.49562474633013E-2</v>
      </c>
      <c r="G56" s="83">
        <f t="shared" si="14"/>
        <v>6.6737852389839643E-3</v>
      </c>
      <c r="H56" s="83">
        <f t="shared" si="14"/>
        <v>1.8916278543550904E-2</v>
      </c>
      <c r="I56" s="83">
        <f t="shared" si="14"/>
        <v>2.9436635871219325E-8</v>
      </c>
      <c r="J56" s="83">
        <f t="shared" si="14"/>
        <v>2.499892320398072E-2</v>
      </c>
      <c r="K56" s="83">
        <f t="shared" si="14"/>
        <v>0.18536933578963849</v>
      </c>
    </row>
    <row r="57" spans="1:13" ht="15">
      <c r="A57" s="82" t="s">
        <v>336</v>
      </c>
      <c r="B57" s="83">
        <f>MIN(B13:B54)</f>
        <v>0.97777523117272724</v>
      </c>
      <c r="C57" s="83">
        <f t="shared" ref="C57:K57" si="15">MIN(C13:C54)</f>
        <v>0.98199999999999998</v>
      </c>
      <c r="D57" s="83">
        <f t="shared" si="15"/>
        <v>0.95</v>
      </c>
      <c r="E57" s="83">
        <f t="shared" si="15"/>
        <v>0.59132519783422699</v>
      </c>
      <c r="F57" s="83">
        <f t="shared" si="15"/>
        <v>0.45020889959693217</v>
      </c>
      <c r="G57" s="83">
        <f t="shared" si="15"/>
        <v>0.8937069967200989</v>
      </c>
      <c r="H57" s="83">
        <f t="shared" si="15"/>
        <v>0.85190767716977389</v>
      </c>
      <c r="I57" s="83">
        <f t="shared" si="15"/>
        <v>0.98</v>
      </c>
      <c r="J57" s="83">
        <f t="shared" si="15"/>
        <v>0.82985074183990937</v>
      </c>
      <c r="K57" s="83">
        <f t="shared" si="15"/>
        <v>1.2330717411425856</v>
      </c>
    </row>
    <row r="58" spans="1:13" ht="15">
      <c r="A58" s="82" t="s">
        <v>337</v>
      </c>
      <c r="B58" s="83">
        <f>MAX(B13:B54)</f>
        <v>0.98279572799999992</v>
      </c>
      <c r="C58" s="83">
        <f t="shared" ref="C58:K58" si="16">MAX(C13:C54)</f>
        <v>0.99614285714285722</v>
      </c>
      <c r="D58" s="83">
        <f t="shared" si="16"/>
        <v>0.95</v>
      </c>
      <c r="E58" s="83">
        <f t="shared" si="16"/>
        <v>0.77711121125186589</v>
      </c>
      <c r="F58" s="83">
        <f t="shared" si="16"/>
        <v>0.64543189101303122</v>
      </c>
      <c r="G58" s="83">
        <f t="shared" si="16"/>
        <v>0.91688802388043744</v>
      </c>
      <c r="H58" s="83">
        <f t="shared" si="16"/>
        <v>0.92822520365362693</v>
      </c>
      <c r="I58" s="83">
        <f t="shared" si="16"/>
        <v>0.98</v>
      </c>
      <c r="J58" s="83">
        <f t="shared" si="16"/>
        <v>0.91545252291562884</v>
      </c>
      <c r="K58" s="83">
        <f t="shared" si="16"/>
        <v>1.9033408628575628</v>
      </c>
    </row>
    <row r="59" spans="1:13">
      <c r="J59" s="8"/>
    </row>
    <row r="60" spans="1:13">
      <c r="J60" s="8"/>
    </row>
    <row r="61" spans="1:13">
      <c r="J61" s="8"/>
    </row>
    <row r="62" spans="1:13">
      <c r="J62" s="8"/>
    </row>
    <row r="63" spans="1:13">
      <c r="J63" s="8"/>
    </row>
    <row r="64" spans="1:13">
      <c r="J64" s="8"/>
    </row>
    <row r="65" spans="10:10">
      <c r="J65" s="8"/>
    </row>
    <row r="66" spans="10:10">
      <c r="J66" s="8"/>
    </row>
    <row r="67" spans="10:10">
      <c r="J67" s="8"/>
    </row>
    <row r="68" spans="10:10">
      <c r="J68" s="8"/>
    </row>
    <row r="69" spans="10:10">
      <c r="J69" s="8"/>
    </row>
    <row r="70" spans="10:10">
      <c r="J70" s="8"/>
    </row>
    <row r="71" spans="10:10">
      <c r="J71" s="8"/>
    </row>
    <row r="72" spans="10:10">
      <c r="J72" s="8"/>
    </row>
    <row r="73" spans="10:10">
      <c r="J73" s="8"/>
    </row>
    <row r="74" spans="10:10">
      <c r="J74" s="8"/>
    </row>
  </sheetData>
  <mergeCells count="12">
    <mergeCell ref="A10:B10"/>
    <mergeCell ref="A11:C11"/>
    <mergeCell ref="G8:J8"/>
    <mergeCell ref="G6:J6"/>
    <mergeCell ref="H1:I1"/>
    <mergeCell ref="A9:B9"/>
    <mergeCell ref="A5:B5"/>
    <mergeCell ref="G3:I3"/>
    <mergeCell ref="G9:I9"/>
    <mergeCell ref="G5:J5"/>
    <mergeCell ref="G4:J4"/>
    <mergeCell ref="G7:J7"/>
  </mergeCells>
  <phoneticPr fontId="4" type="noConversion"/>
  <printOptions gridLines="1"/>
  <pageMargins left="0.24" right="0.19" top="0.62" bottom="0.7" header="0.5" footer="0.5"/>
  <pageSetup scale="56" orientation="landscape" horizontalDpi="1200" verticalDpi="1200"/>
  <headerFooter scaleWithDoc="0" alignWithMargins="0">
    <oddFooter>&amp;L&amp;F&amp;C&amp;A&amp;R&amp;D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2</vt:i4>
      </vt:variant>
    </vt:vector>
  </HeadingPairs>
  <TitlesOfParts>
    <vt:vector size="27" baseType="lpstr">
      <vt:lpstr>rev-hist</vt:lpstr>
      <vt:lpstr>ImC</vt:lpstr>
      <vt:lpstr>Z087</vt:lpstr>
      <vt:lpstr>Y106</vt:lpstr>
      <vt:lpstr>J129</vt:lpstr>
      <vt:lpstr>W149</vt:lpstr>
      <vt:lpstr>H158</vt:lpstr>
      <vt:lpstr>F184</vt:lpstr>
      <vt:lpstr>GRS</vt:lpstr>
      <vt:lpstr>IFU</vt:lpstr>
      <vt:lpstr>CoroImg</vt:lpstr>
      <vt:lpstr>Summary</vt:lpstr>
      <vt:lpstr>cycle4 AFTA filters 2</vt:lpstr>
      <vt:lpstr>filterT</vt:lpstr>
      <vt:lpstr>SWIR data</vt:lpstr>
      <vt:lpstr>new qe</vt:lpstr>
      <vt:lpstr>notes</vt:lpstr>
      <vt:lpstr>pAg</vt:lpstr>
      <vt:lpstr>AR sim</vt:lpstr>
      <vt:lpstr>filterlist</vt:lpstr>
      <vt:lpstr>dichroic</vt:lpstr>
      <vt:lpstr>BP filter</vt:lpstr>
      <vt:lpstr>Grism model 1.3-1.867</vt:lpstr>
      <vt:lpstr>Grism model 1.85-2.4</vt:lpstr>
      <vt:lpstr>wavenumber</vt:lpstr>
      <vt:lpstr>pAg_model_chart</vt:lpstr>
      <vt:lpstr>pAg_model_chart (2)</vt:lpstr>
    </vt:vector>
  </TitlesOfParts>
  <Company>NASA-GSFC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Content</dc:creator>
  <cp:lastModifiedBy>Christopher Hirata</cp:lastModifiedBy>
  <cp:lastPrinted>2012-06-04T16:37:59Z</cp:lastPrinted>
  <dcterms:created xsi:type="dcterms:W3CDTF">2006-12-14T01:14:01Z</dcterms:created>
  <dcterms:modified xsi:type="dcterms:W3CDTF">2014-05-26T19:23:12Z</dcterms:modified>
</cp:coreProperties>
</file>