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5.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2.xml" ContentType="application/vnd.openxmlformats-officedocument.spreadsheetml.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7.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myjcuedu-my.sharepoint.com/personal/thihongngoc_nguyen1_my_jcu_edu_au/Documents/bachelor/Sem 5/BX2016/assessment/assessment 2/submission/"/>
    </mc:Choice>
  </mc:AlternateContent>
  <xr:revisionPtr revIDLastSave="20" documentId="13_ncr:1_{CA84E60F-E4B5-48BE-B21C-865AE2173EB0}" xr6:coauthVersionLast="47" xr6:coauthVersionMax="47" xr10:uidLastSave="{B6215B14-C8DB-4EC1-A8A0-7156CF2E5A83}"/>
  <bookViews>
    <workbookView xWindow="-110" yWindow="-110" windowWidth="19420" windowHeight="10300" xr2:uid="{00000000-000D-0000-FFFF-FFFF00000000}"/>
  </bookViews>
  <sheets>
    <sheet name="Omega Pty Ltd" sheetId="40" r:id="rId1"/>
    <sheet name="Average Inventories &amp; Cost" sheetId="2" r:id="rId2"/>
    <sheet name="Costs" sheetId="28" r:id="rId3"/>
    <sheet name="Sales Target &amp; Actual" sheetId="32" r:id="rId4"/>
    <sheet name="Model Assumptions" sheetId="29" r:id="rId5"/>
    <sheet name="Black Box Model" sheetId="41" r:id="rId6"/>
    <sheet name="Infleunce Diagram" sheetId="42" r:id="rId7"/>
    <sheet name="Labour Costs" sheetId="30" r:id="rId8"/>
    <sheet name="Location VUAOC Cost" sheetId="31" r:id="rId9"/>
    <sheet name="COGS" sheetId="33" r:id="rId10"/>
    <sheet name="Total Operating Cost" sheetId="34" r:id="rId11"/>
    <sheet name="Sales and Revenue" sheetId="3" r:id="rId12"/>
    <sheet name="Financial Performance" sheetId="43" r:id="rId13"/>
    <sheet name="Income Statement" sheetId="35" r:id="rId14"/>
    <sheet name="Profit - What-if-Analysis" sheetId="39" r:id="rId15"/>
    <sheet name="Dashboard Design Space" sheetId="50" r:id="rId16"/>
    <sheet name="Financial KPI Dashboard" sheetId="47" r:id="rId17"/>
    <sheet name="Product Performance" sheetId="44" r:id="rId18"/>
    <sheet name="Product Dashboard Design Space" sheetId="48" r:id="rId19"/>
    <sheet name="Product KPI Dashboard" sheetId="49" r:id="rId20"/>
    <sheet name="Maroochydore" sheetId="24" r:id="rId21"/>
    <sheet name="VUAOC Generator" sheetId="25" r:id="rId22"/>
  </sheets>
  <definedNames>
    <definedName name="Brisbane">#REF!</definedName>
    <definedName name="Cairns">#REF!</definedName>
    <definedName name="Gold_Coast">#REF!</definedName>
    <definedName name="OLE_LINK1" localSheetId="6">'Infleunce Diagram'!$B$3</definedName>
    <definedName name="OLE_LINK3" localSheetId="6">'Infleunce Diagram'!$B$29</definedName>
    <definedName name="_xlnm.Print_Area" localSheetId="1">'Average Inventories &amp; Cost'!$A$1:$G$31</definedName>
    <definedName name="_xlnm.Print_Area" localSheetId="20">Maroochydore!$B$1:$J$51</definedName>
    <definedName name="_xlnm.Print_Area" localSheetId="11">'Sales and Revenue'!#REF!</definedName>
    <definedName name="Slicer_LOCATION">#N/A</definedName>
    <definedName name="Slicer_LOCATION1">#N/A</definedName>
    <definedName name="Slicer_PRODUCT">#N/A</definedName>
    <definedName name="Slicer_YEAR">#N/A</definedName>
    <definedName name="Slicer_YEAR1">#N/A</definedName>
    <definedName name="solver_adj" localSheetId="13" hidden="1">'Income Statement'!$E$78:$H$78</definedName>
    <definedName name="solver_cvg" localSheetId="13" hidden="1">0.0001</definedName>
    <definedName name="solver_drv" localSheetId="13" hidden="1">2</definedName>
    <definedName name="solver_eng" localSheetId="13" hidden="1">1</definedName>
    <definedName name="solver_est" localSheetId="13" hidden="1">1</definedName>
    <definedName name="solver_itr" localSheetId="13" hidden="1">2147483647</definedName>
    <definedName name="solver_mip" localSheetId="13" hidden="1">2147483647</definedName>
    <definedName name="solver_mni" localSheetId="13" hidden="1">30</definedName>
    <definedName name="solver_mrt" localSheetId="13" hidden="1">0.075</definedName>
    <definedName name="solver_msl" localSheetId="13" hidden="1">2</definedName>
    <definedName name="solver_neg" localSheetId="13" hidden="1">1</definedName>
    <definedName name="solver_nod" localSheetId="13" hidden="1">2147483647</definedName>
    <definedName name="solver_num" localSheetId="13" hidden="1">0</definedName>
    <definedName name="solver_nwt" localSheetId="13" hidden="1">1</definedName>
    <definedName name="solver_opt" localSheetId="13" hidden="1">'Income Statement'!$I$88</definedName>
    <definedName name="solver_pre" localSheetId="13" hidden="1">0.000001</definedName>
    <definedName name="solver_rbv" localSheetId="13" hidden="1">2</definedName>
    <definedName name="solver_rlx" localSheetId="13" hidden="1">2</definedName>
    <definedName name="solver_rsd" localSheetId="13" hidden="1">0</definedName>
    <definedName name="solver_scl" localSheetId="13" hidden="1">2</definedName>
    <definedName name="solver_sho" localSheetId="13" hidden="1">2</definedName>
    <definedName name="solver_ssz" localSheetId="13" hidden="1">100</definedName>
    <definedName name="solver_tim" localSheetId="13" hidden="1">2147483647</definedName>
    <definedName name="solver_tol" localSheetId="13" hidden="1">0.01</definedName>
    <definedName name="solver_typ" localSheetId="13" hidden="1">3</definedName>
    <definedName name="solver_val" localSheetId="13" hidden="1">0</definedName>
    <definedName name="solver_ver" localSheetId="13" hidden="1">3</definedName>
    <definedName name="Townsville">#REF!</definedName>
  </definedNames>
  <calcPr calcId="191029"/>
  <pivotCaches>
    <pivotCache cacheId="2" r:id="rId23"/>
    <pivotCache cacheId="3" r:id="rId24"/>
  </pivotCaches>
  <extLst>
    <ext xmlns:x14="http://schemas.microsoft.com/office/spreadsheetml/2009/9/main" uri="{BBE1A952-AA13-448e-AADC-164F8A28A991}">
      <x14:slicerCaches>
        <x14:slicerCache r:id="rId25"/>
        <x14:slicerCache r:id="rId26"/>
        <x14:slicerCache r:id="rId27"/>
        <x14:slicerCache r:id="rId28"/>
        <x14:slicerCache r:id="rId2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3" i="24" l="1"/>
  <c r="H32" i="39"/>
  <c r="Q5" i="39"/>
  <c r="Q6" i="39"/>
  <c r="D23" i="39"/>
  <c r="E23" i="39"/>
  <c r="F23" i="39"/>
  <c r="G23" i="39"/>
  <c r="H23" i="39"/>
  <c r="D25" i="39"/>
  <c r="E25" i="39"/>
  <c r="F25" i="39"/>
  <c r="G25" i="39"/>
  <c r="H25" i="39"/>
  <c r="D26" i="39"/>
  <c r="E26" i="39"/>
  <c r="F26" i="39"/>
  <c r="G26" i="39"/>
  <c r="H26" i="39"/>
  <c r="D27" i="39"/>
  <c r="E27" i="39"/>
  <c r="F27" i="39"/>
  <c r="G27" i="39"/>
  <c r="H27" i="39"/>
  <c r="D28" i="39"/>
  <c r="E28" i="39"/>
  <c r="F28" i="39"/>
  <c r="G28" i="39"/>
  <c r="H28" i="39"/>
  <c r="D29" i="39"/>
  <c r="E29" i="39"/>
  <c r="F29" i="39"/>
  <c r="G29" i="39"/>
  <c r="H29" i="39"/>
  <c r="H30" i="39"/>
  <c r="Q7" i="39"/>
  <c r="L12" i="39"/>
  <c r="R12" i="39"/>
  <c r="M12" i="39"/>
  <c r="N12" i="39"/>
  <c r="O12" i="39"/>
  <c r="P12" i="39"/>
  <c r="Q12" i="39"/>
  <c r="S12" i="39"/>
  <c r="T12" i="39"/>
  <c r="U12" i="39"/>
  <c r="L18" i="39"/>
  <c r="L13" i="39"/>
  <c r="L14" i="39"/>
  <c r="L15" i="39"/>
  <c r="L16" i="39"/>
  <c r="L17" i="39"/>
  <c r="L19" i="39"/>
  <c r="L20" i="39"/>
  <c r="L21" i="39"/>
  <c r="L22" i="39"/>
  <c r="L23" i="39"/>
  <c r="L24" i="39"/>
  <c r="L25" i="39"/>
  <c r="L26" i="39"/>
  <c r="L27" i="39"/>
  <c r="L28" i="39"/>
  <c r="L29" i="39"/>
  <c r="L30" i="39"/>
  <c r="K13" i="24"/>
  <c r="L13" i="24"/>
  <c r="J13" i="24"/>
  <c r="K18" i="24"/>
  <c r="L18" i="24"/>
  <c r="J18" i="24"/>
  <c r="I18" i="24"/>
  <c r="G18" i="24"/>
  <c r="H18" i="24"/>
  <c r="F18" i="24"/>
  <c r="E23" i="24"/>
  <c r="F23" i="24"/>
  <c r="G13" i="24"/>
  <c r="G16" i="24"/>
  <c r="G23" i="24"/>
  <c r="H16" i="24"/>
  <c r="H23" i="24"/>
  <c r="I13" i="24"/>
  <c r="I16" i="24"/>
  <c r="I23" i="24"/>
  <c r="J16" i="24"/>
  <c r="J23" i="24"/>
  <c r="K16" i="24"/>
  <c r="K23" i="24"/>
  <c r="L16" i="24"/>
  <c r="L23" i="24"/>
  <c r="F41" i="3"/>
  <c r="F77" i="35"/>
  <c r="E22" i="39" s="1"/>
  <c r="I8" i="50"/>
  <c r="G77" i="35"/>
  <c r="F22" i="39" s="1"/>
  <c r="H77" i="35"/>
  <c r="G22" i="39" s="1"/>
  <c r="E77" i="35"/>
  <c r="H8" i="50"/>
  <c r="O33" i="3"/>
  <c r="M35" i="3"/>
  <c r="N35" i="3"/>
  <c r="O35" i="3"/>
  <c r="M34" i="3"/>
  <c r="N34" i="3"/>
  <c r="O34" i="3"/>
  <c r="M33" i="3"/>
  <c r="N33" i="3"/>
  <c r="M32" i="3"/>
  <c r="N32" i="3"/>
  <c r="O32" i="3"/>
  <c r="O31" i="3"/>
  <c r="M31" i="3"/>
  <c r="N31" i="3"/>
  <c r="M30" i="3"/>
  <c r="N30" i="3"/>
  <c r="O30" i="3"/>
  <c r="M29" i="3"/>
  <c r="N29" i="3"/>
  <c r="O29" i="3"/>
  <c r="L35" i="3"/>
  <c r="L34" i="3"/>
  <c r="L33" i="3"/>
  <c r="L32" i="3"/>
  <c r="L31" i="3"/>
  <c r="L30" i="3"/>
  <c r="L29" i="3"/>
  <c r="L18" i="3"/>
  <c r="O17" i="3"/>
  <c r="N17" i="3"/>
  <c r="M17" i="3"/>
  <c r="L17" i="3"/>
  <c r="M23" i="3"/>
  <c r="N23" i="3"/>
  <c r="O23" i="3"/>
  <c r="M22" i="3"/>
  <c r="N22" i="3"/>
  <c r="O22" i="3"/>
  <c r="M21" i="3"/>
  <c r="N21" i="3"/>
  <c r="O21" i="3"/>
  <c r="M20" i="3"/>
  <c r="N20" i="3"/>
  <c r="O20" i="3"/>
  <c r="M19" i="3"/>
  <c r="N19" i="3"/>
  <c r="O19" i="3"/>
  <c r="M18" i="3"/>
  <c r="N18" i="3"/>
  <c r="O18" i="3"/>
  <c r="L23" i="3"/>
  <c r="L22" i="3"/>
  <c r="L20" i="3"/>
  <c r="L21" i="3"/>
  <c r="L19" i="3"/>
  <c r="M11" i="3"/>
  <c r="N11" i="3"/>
  <c r="O11" i="3"/>
  <c r="M10" i="3"/>
  <c r="N10" i="3"/>
  <c r="O10" i="3"/>
  <c r="M9" i="3"/>
  <c r="N9" i="3"/>
  <c r="O9" i="3"/>
  <c r="M8" i="3"/>
  <c r="N8" i="3"/>
  <c r="O8" i="3"/>
  <c r="M7" i="3"/>
  <c r="N7" i="3"/>
  <c r="O7" i="3"/>
  <c r="M6" i="3"/>
  <c r="N6" i="3"/>
  <c r="O6" i="3"/>
  <c r="M5" i="3"/>
  <c r="N5" i="3"/>
  <c r="O5" i="3"/>
  <c r="L11" i="3"/>
  <c r="L10" i="3"/>
  <c r="L9" i="3"/>
  <c r="L8" i="3"/>
  <c r="L7" i="3"/>
  <c r="L6" i="3"/>
  <c r="L5" i="3"/>
  <c r="I6" i="3"/>
  <c r="I7" i="3"/>
  <c r="I8" i="3"/>
  <c r="I9" i="3"/>
  <c r="I10" i="3"/>
  <c r="I11" i="3"/>
  <c r="I5" i="3"/>
  <c r="C30" i="3"/>
  <c r="D30" i="3"/>
  <c r="E30" i="3"/>
  <c r="F30" i="3"/>
  <c r="C31" i="3"/>
  <c r="D31" i="3"/>
  <c r="E31" i="3"/>
  <c r="F31" i="3"/>
  <c r="C32" i="3"/>
  <c r="D32" i="3"/>
  <c r="E32" i="3"/>
  <c r="F32" i="3"/>
  <c r="C33" i="3"/>
  <c r="D33" i="3"/>
  <c r="E33" i="3"/>
  <c r="F33" i="3"/>
  <c r="C34" i="3"/>
  <c r="D34" i="3"/>
  <c r="E34" i="3"/>
  <c r="F34" i="3"/>
  <c r="C35" i="3"/>
  <c r="D35" i="3"/>
  <c r="E35" i="3"/>
  <c r="F35" i="3"/>
  <c r="D29" i="3"/>
  <c r="E29" i="3"/>
  <c r="F29" i="3"/>
  <c r="C29" i="3"/>
  <c r="C18" i="3"/>
  <c r="D18" i="3"/>
  <c r="E18" i="3"/>
  <c r="F18" i="3"/>
  <c r="C19" i="3"/>
  <c r="D19" i="3"/>
  <c r="E19" i="3"/>
  <c r="F19" i="3"/>
  <c r="C20" i="3"/>
  <c r="D20" i="3"/>
  <c r="E20" i="3"/>
  <c r="F20" i="3"/>
  <c r="C21" i="3"/>
  <c r="D21" i="3"/>
  <c r="E21" i="3"/>
  <c r="F21" i="3"/>
  <c r="C22" i="3"/>
  <c r="D22" i="3"/>
  <c r="E22" i="3"/>
  <c r="F22" i="3"/>
  <c r="C23" i="3"/>
  <c r="D23" i="3"/>
  <c r="E23" i="3"/>
  <c r="F23" i="3"/>
  <c r="D17" i="3"/>
  <c r="E17" i="3"/>
  <c r="F17" i="3"/>
  <c r="C17" i="3"/>
  <c r="C6" i="3"/>
  <c r="D6" i="3"/>
  <c r="E6" i="3"/>
  <c r="F6" i="3"/>
  <c r="C7" i="3"/>
  <c r="D7" i="3"/>
  <c r="E7" i="3"/>
  <c r="F7" i="3"/>
  <c r="C8" i="3"/>
  <c r="D8" i="3"/>
  <c r="E8" i="3"/>
  <c r="F8" i="3"/>
  <c r="C9" i="3"/>
  <c r="D9" i="3"/>
  <c r="E9" i="3"/>
  <c r="F9" i="3"/>
  <c r="C10" i="3"/>
  <c r="D10" i="3"/>
  <c r="E10" i="3"/>
  <c r="F10" i="3"/>
  <c r="C11" i="3"/>
  <c r="D11" i="3"/>
  <c r="E11" i="3"/>
  <c r="F11" i="3"/>
  <c r="D5" i="3"/>
  <c r="E5" i="3"/>
  <c r="F5" i="3"/>
  <c r="C5" i="3"/>
  <c r="C28" i="34"/>
  <c r="D28" i="34"/>
  <c r="E28" i="34"/>
  <c r="F28" i="34"/>
  <c r="C29" i="34"/>
  <c r="D29" i="34"/>
  <c r="E29" i="34"/>
  <c r="F29" i="34"/>
  <c r="D27" i="34"/>
  <c r="E27" i="34"/>
  <c r="F27" i="34"/>
  <c r="C27" i="34"/>
  <c r="C14" i="34"/>
  <c r="D14" i="34"/>
  <c r="E14" i="34"/>
  <c r="F14" i="34"/>
  <c r="C15" i="34"/>
  <c r="D15" i="34"/>
  <c r="E15" i="34"/>
  <c r="F15" i="34"/>
  <c r="D13" i="34"/>
  <c r="E13" i="34"/>
  <c r="F13" i="34"/>
  <c r="C13" i="34"/>
  <c r="L43" i="33"/>
  <c r="M36" i="33"/>
  <c r="N36" i="33"/>
  <c r="O36" i="33"/>
  <c r="M35" i="33"/>
  <c r="N35" i="33"/>
  <c r="O35" i="33"/>
  <c r="M34" i="33"/>
  <c r="N34" i="33"/>
  <c r="O34" i="33"/>
  <c r="M33" i="33"/>
  <c r="N33" i="33"/>
  <c r="O33" i="33"/>
  <c r="M32" i="33"/>
  <c r="N32" i="33"/>
  <c r="O32" i="33"/>
  <c r="M31" i="33"/>
  <c r="N31" i="33"/>
  <c r="O31" i="33"/>
  <c r="M30" i="33"/>
  <c r="N30" i="33"/>
  <c r="O30" i="33"/>
  <c r="L36" i="33"/>
  <c r="L35" i="33"/>
  <c r="L34" i="33"/>
  <c r="L33" i="33"/>
  <c r="L32" i="33"/>
  <c r="L31" i="33"/>
  <c r="L30" i="33"/>
  <c r="M24" i="33"/>
  <c r="N24" i="33"/>
  <c r="O24" i="33"/>
  <c r="M23" i="33"/>
  <c r="N23" i="33"/>
  <c r="O23" i="33"/>
  <c r="M22" i="33"/>
  <c r="N22" i="33"/>
  <c r="O22" i="33"/>
  <c r="M21" i="33"/>
  <c r="N21" i="33"/>
  <c r="O21" i="33"/>
  <c r="M20" i="33"/>
  <c r="N20" i="33"/>
  <c r="O20" i="33"/>
  <c r="M19" i="33"/>
  <c r="N19" i="33"/>
  <c r="O19" i="33"/>
  <c r="L24" i="33"/>
  <c r="L23" i="33"/>
  <c r="L22" i="33"/>
  <c r="L21" i="33"/>
  <c r="L20" i="33"/>
  <c r="L19" i="33"/>
  <c r="L18" i="33"/>
  <c r="O18" i="33"/>
  <c r="N18" i="33"/>
  <c r="M18" i="33"/>
  <c r="L6" i="33"/>
  <c r="M12" i="33"/>
  <c r="N12" i="33"/>
  <c r="O12" i="33"/>
  <c r="M11" i="33"/>
  <c r="N11" i="33"/>
  <c r="O11" i="33"/>
  <c r="M10" i="33"/>
  <c r="N10" i="33"/>
  <c r="O10" i="33"/>
  <c r="M9" i="33"/>
  <c r="N9" i="33"/>
  <c r="O9" i="33"/>
  <c r="M8" i="33"/>
  <c r="N8" i="33"/>
  <c r="O8" i="33"/>
  <c r="M7" i="33"/>
  <c r="N7" i="33"/>
  <c r="O7" i="33"/>
  <c r="M6" i="33"/>
  <c r="N6" i="33"/>
  <c r="O6" i="33"/>
  <c r="L12" i="33"/>
  <c r="L11" i="33"/>
  <c r="L10" i="33"/>
  <c r="L9" i="33"/>
  <c r="L8" i="33"/>
  <c r="L7" i="33"/>
  <c r="I7" i="33"/>
  <c r="I8" i="33"/>
  <c r="I9" i="33"/>
  <c r="I10" i="33"/>
  <c r="I11" i="33"/>
  <c r="I12" i="33"/>
  <c r="I6" i="33"/>
  <c r="C31" i="33"/>
  <c r="D31" i="33"/>
  <c r="E31" i="33"/>
  <c r="F31" i="33"/>
  <c r="C32" i="33"/>
  <c r="D32" i="33"/>
  <c r="E32" i="33"/>
  <c r="F32" i="33"/>
  <c r="C33" i="33"/>
  <c r="D33" i="33"/>
  <c r="E33" i="33"/>
  <c r="F33" i="33"/>
  <c r="C34" i="33"/>
  <c r="D34" i="33"/>
  <c r="E34" i="33"/>
  <c r="F34" i="33"/>
  <c r="C35" i="33"/>
  <c r="D35" i="33"/>
  <c r="E35" i="33"/>
  <c r="F35" i="33"/>
  <c r="C36" i="33"/>
  <c r="D36" i="33"/>
  <c r="E36" i="33"/>
  <c r="F36" i="33"/>
  <c r="D30" i="33"/>
  <c r="E30" i="33"/>
  <c r="F30" i="33"/>
  <c r="C30" i="33"/>
  <c r="C19" i="33"/>
  <c r="D19" i="33"/>
  <c r="E19" i="33"/>
  <c r="F19" i="33"/>
  <c r="C20" i="33"/>
  <c r="D20" i="33"/>
  <c r="E20" i="33"/>
  <c r="F20" i="33"/>
  <c r="C21" i="33"/>
  <c r="D21" i="33"/>
  <c r="E21" i="33"/>
  <c r="F21" i="33"/>
  <c r="C22" i="33"/>
  <c r="D22" i="33"/>
  <c r="E22" i="33"/>
  <c r="F22" i="33"/>
  <c r="C23" i="33"/>
  <c r="D23" i="33"/>
  <c r="E23" i="33"/>
  <c r="F23" i="33"/>
  <c r="C24" i="33"/>
  <c r="D24" i="33"/>
  <c r="E24" i="33"/>
  <c r="F24" i="33"/>
  <c r="D18" i="33"/>
  <c r="E18" i="33"/>
  <c r="F18" i="33"/>
  <c r="C18" i="33"/>
  <c r="C7" i="33"/>
  <c r="D7" i="33"/>
  <c r="E7" i="33"/>
  <c r="F7" i="33"/>
  <c r="C8" i="33"/>
  <c r="D8" i="33"/>
  <c r="E8" i="33"/>
  <c r="F8" i="33"/>
  <c r="C9" i="33"/>
  <c r="D9" i="33"/>
  <c r="E9" i="33"/>
  <c r="F9" i="33"/>
  <c r="C10" i="33"/>
  <c r="D10" i="33"/>
  <c r="E10" i="33"/>
  <c r="F10" i="33"/>
  <c r="C11" i="33"/>
  <c r="D11" i="33"/>
  <c r="E11" i="33"/>
  <c r="F11" i="33"/>
  <c r="C12" i="33"/>
  <c r="D12" i="33"/>
  <c r="E12" i="33"/>
  <c r="F12" i="33"/>
  <c r="D6" i="33"/>
  <c r="E6" i="33"/>
  <c r="F6" i="33"/>
  <c r="C6" i="33"/>
  <c r="M7" i="31"/>
  <c r="M6" i="31"/>
  <c r="M8" i="31"/>
  <c r="J8" i="31"/>
  <c r="K8" i="31"/>
  <c r="L8" i="31"/>
  <c r="I8" i="31"/>
  <c r="C42" i="31"/>
  <c r="I7" i="31"/>
  <c r="J7" i="31"/>
  <c r="K7" i="31"/>
  <c r="L7" i="31"/>
  <c r="L6" i="31"/>
  <c r="K6" i="31"/>
  <c r="J6" i="31"/>
  <c r="I6" i="31"/>
  <c r="C36" i="31"/>
  <c r="D36" i="31"/>
  <c r="E36" i="31"/>
  <c r="F36" i="31"/>
  <c r="C37" i="31"/>
  <c r="D37" i="31"/>
  <c r="E37" i="31"/>
  <c r="F37" i="31"/>
  <c r="C38" i="31"/>
  <c r="D38" i="31"/>
  <c r="E38" i="31"/>
  <c r="F38" i="31"/>
  <c r="C39" i="31"/>
  <c r="D39" i="31"/>
  <c r="E39" i="31"/>
  <c r="F39" i="31"/>
  <c r="C40" i="31"/>
  <c r="D40" i="31"/>
  <c r="E40" i="31"/>
  <c r="F40" i="31"/>
  <c r="C41" i="31"/>
  <c r="D41" i="31"/>
  <c r="E41" i="31"/>
  <c r="F41" i="31"/>
  <c r="D35" i="31"/>
  <c r="E35" i="31"/>
  <c r="F35" i="31"/>
  <c r="C35" i="31"/>
  <c r="C24" i="31"/>
  <c r="D24" i="31"/>
  <c r="E24" i="31"/>
  <c r="F24" i="31"/>
  <c r="C25" i="31"/>
  <c r="D25" i="31"/>
  <c r="E25" i="31"/>
  <c r="F25" i="31"/>
  <c r="C26" i="31"/>
  <c r="D26" i="31"/>
  <c r="E26" i="31"/>
  <c r="F26" i="31"/>
  <c r="C27" i="31"/>
  <c r="D27" i="31"/>
  <c r="E27" i="31"/>
  <c r="F27" i="31"/>
  <c r="C28" i="31"/>
  <c r="D28" i="31"/>
  <c r="E28" i="31"/>
  <c r="F28" i="31"/>
  <c r="C29" i="31"/>
  <c r="D29" i="31"/>
  <c r="E29" i="31"/>
  <c r="F29" i="31"/>
  <c r="D23" i="31"/>
  <c r="E23" i="31"/>
  <c r="F23" i="31"/>
  <c r="C12" i="31"/>
  <c r="D12" i="31"/>
  <c r="E12" i="31"/>
  <c r="F12" i="31"/>
  <c r="C13" i="31"/>
  <c r="D13" i="31"/>
  <c r="E13" i="31"/>
  <c r="F13" i="31"/>
  <c r="C14" i="31"/>
  <c r="D14" i="31"/>
  <c r="E14" i="31"/>
  <c r="F14" i="31"/>
  <c r="C15" i="31"/>
  <c r="D15" i="31"/>
  <c r="E15" i="31"/>
  <c r="F15" i="31"/>
  <c r="C16" i="31"/>
  <c r="D16" i="31"/>
  <c r="E16" i="31"/>
  <c r="F16" i="31"/>
  <c r="C17" i="31"/>
  <c r="D17" i="31"/>
  <c r="E17" i="31"/>
  <c r="F17" i="31"/>
  <c r="D11" i="31"/>
  <c r="E11" i="31"/>
  <c r="F11" i="31"/>
  <c r="C11" i="31"/>
  <c r="C23" i="31"/>
  <c r="C18" i="31"/>
  <c r="D6" i="31"/>
  <c r="E6" i="31"/>
  <c r="F6" i="31"/>
  <c r="C6" i="31"/>
  <c r="F41" i="28"/>
  <c r="E41" i="28"/>
  <c r="D41" i="28"/>
  <c r="C23" i="30"/>
  <c r="E22" i="30"/>
  <c r="D22" i="30"/>
  <c r="C22" i="30"/>
  <c r="H14" i="30"/>
  <c r="I24" i="30"/>
  <c r="J24" i="30"/>
  <c r="I23" i="30"/>
  <c r="J23" i="30"/>
  <c r="I22" i="30"/>
  <c r="J22" i="30"/>
  <c r="H24" i="30"/>
  <c r="H23" i="30"/>
  <c r="H22" i="30"/>
  <c r="I16" i="30"/>
  <c r="J16" i="30"/>
  <c r="I15" i="30"/>
  <c r="J15" i="30"/>
  <c r="I14" i="30"/>
  <c r="J14" i="30"/>
  <c r="H16" i="30"/>
  <c r="H15" i="30"/>
  <c r="D24" i="30"/>
  <c r="E24" i="30"/>
  <c r="D23" i="30"/>
  <c r="E23" i="30"/>
  <c r="C24" i="30"/>
  <c r="C30" i="30"/>
  <c r="D16" i="30"/>
  <c r="E16" i="30"/>
  <c r="D15" i="30"/>
  <c r="E15" i="30"/>
  <c r="D14" i="30"/>
  <c r="E14" i="30"/>
  <c r="C16" i="30"/>
  <c r="C15" i="30"/>
  <c r="C14" i="30"/>
  <c r="I7" i="30"/>
  <c r="J7" i="30"/>
  <c r="K7" i="30"/>
  <c r="I8" i="30"/>
  <c r="J8" i="30"/>
  <c r="K8" i="30"/>
  <c r="J6" i="30"/>
  <c r="K6" i="30"/>
  <c r="I6" i="30"/>
  <c r="C41" i="28"/>
  <c r="C7" i="30"/>
  <c r="D7" i="30"/>
  <c r="E7" i="30"/>
  <c r="F7" i="30"/>
  <c r="C8" i="30"/>
  <c r="D8" i="30"/>
  <c r="E8" i="30"/>
  <c r="F8" i="30"/>
  <c r="D6" i="30"/>
  <c r="E6" i="30"/>
  <c r="F6" i="30"/>
  <c r="C6" i="30"/>
  <c r="E10" i="25"/>
  <c r="D10" i="25"/>
  <c r="C10" i="25"/>
  <c r="B10" i="25"/>
  <c r="L13" i="33"/>
  <c r="M13" i="33"/>
  <c r="N13" i="33"/>
  <c r="O13" i="33"/>
  <c r="C3" i="44"/>
  <c r="C4" i="44"/>
  <c r="C5" i="44"/>
  <c r="C6" i="44"/>
  <c r="C7" i="44"/>
  <c r="C8" i="44"/>
  <c r="C2" i="44"/>
  <c r="B85" i="44"/>
  <c r="B84" i="44"/>
  <c r="B83" i="44"/>
  <c r="B82" i="44"/>
  <c r="B81" i="44"/>
  <c r="B80" i="44"/>
  <c r="B79" i="44"/>
  <c r="B78" i="44"/>
  <c r="B77" i="44"/>
  <c r="B76" i="44"/>
  <c r="B75" i="44"/>
  <c r="B74" i="44"/>
  <c r="B73" i="44"/>
  <c r="B72" i="44"/>
  <c r="B71" i="44"/>
  <c r="B70" i="44"/>
  <c r="B69" i="44"/>
  <c r="B68" i="44"/>
  <c r="B67" i="44"/>
  <c r="B66" i="44"/>
  <c r="B65" i="44"/>
  <c r="B64" i="44"/>
  <c r="B63" i="44"/>
  <c r="B62" i="44"/>
  <c r="B61" i="44"/>
  <c r="B60" i="44"/>
  <c r="B59" i="44"/>
  <c r="B58" i="44"/>
  <c r="B57" i="44"/>
  <c r="B56" i="44"/>
  <c r="B55" i="44"/>
  <c r="B54" i="44"/>
  <c r="B53" i="44"/>
  <c r="B52" i="44"/>
  <c r="B51" i="44"/>
  <c r="B50" i="44"/>
  <c r="B49" i="44"/>
  <c r="B48" i="44"/>
  <c r="B47" i="44"/>
  <c r="B46" i="44"/>
  <c r="B45" i="44"/>
  <c r="B44" i="44"/>
  <c r="B43" i="44"/>
  <c r="B42" i="44"/>
  <c r="B41" i="44"/>
  <c r="B40" i="44"/>
  <c r="B39" i="44"/>
  <c r="B38" i="44"/>
  <c r="B37" i="44"/>
  <c r="B36" i="44"/>
  <c r="B35" i="44"/>
  <c r="B34" i="44"/>
  <c r="B33" i="44"/>
  <c r="B32" i="44"/>
  <c r="B31" i="44"/>
  <c r="B30" i="44"/>
  <c r="B24" i="44"/>
  <c r="B25" i="44"/>
  <c r="B26" i="44"/>
  <c r="B27" i="44"/>
  <c r="B28" i="44"/>
  <c r="B29" i="44"/>
  <c r="B23" i="44"/>
  <c r="B17" i="44"/>
  <c r="B18" i="44"/>
  <c r="B19" i="44"/>
  <c r="B20" i="44"/>
  <c r="B21" i="44"/>
  <c r="B22" i="44"/>
  <c r="B16" i="44"/>
  <c r="B10" i="44"/>
  <c r="B11" i="44"/>
  <c r="B12" i="44"/>
  <c r="B13" i="44"/>
  <c r="B14" i="44"/>
  <c r="B15" i="44"/>
  <c r="B9" i="44"/>
  <c r="B3" i="44"/>
  <c r="B4" i="44"/>
  <c r="B5" i="44"/>
  <c r="B6" i="44"/>
  <c r="B7" i="44"/>
  <c r="B8" i="44"/>
  <c r="B2" i="44"/>
  <c r="E27" i="3"/>
  <c r="L27" i="3"/>
  <c r="A85" i="44"/>
  <c r="A59" i="44"/>
  <c r="A60" i="44"/>
  <c r="A61" i="44"/>
  <c r="A62" i="44"/>
  <c r="A63" i="44"/>
  <c r="A64" i="44"/>
  <c r="A65" i="44"/>
  <c r="A66" i="44"/>
  <c r="A67" i="44"/>
  <c r="A68" i="44"/>
  <c r="A69" i="44"/>
  <c r="A70" i="44"/>
  <c r="A71" i="44"/>
  <c r="A72" i="44"/>
  <c r="A73" i="44"/>
  <c r="A74" i="44"/>
  <c r="A75" i="44"/>
  <c r="A76" i="44"/>
  <c r="A77" i="44"/>
  <c r="A78" i="44"/>
  <c r="A79" i="44"/>
  <c r="A80" i="44"/>
  <c r="A81" i="44"/>
  <c r="A82" i="44"/>
  <c r="A83" i="44"/>
  <c r="A84" i="44"/>
  <c r="A58" i="44"/>
  <c r="E15" i="3"/>
  <c r="L15" i="3"/>
  <c r="A31" i="44"/>
  <c r="A32" i="44"/>
  <c r="A33" i="44"/>
  <c r="A34" i="44"/>
  <c r="A35" i="44"/>
  <c r="A36" i="44"/>
  <c r="A37" i="44"/>
  <c r="A38" i="44"/>
  <c r="A39" i="44"/>
  <c r="A40" i="44"/>
  <c r="A41" i="44"/>
  <c r="A42" i="44"/>
  <c r="A43" i="44"/>
  <c r="A44" i="44"/>
  <c r="A45" i="44"/>
  <c r="A46" i="44"/>
  <c r="A47" i="44"/>
  <c r="A48" i="44"/>
  <c r="A49" i="44"/>
  <c r="A50" i="44"/>
  <c r="A51" i="44"/>
  <c r="A52" i="44"/>
  <c r="A53" i="44"/>
  <c r="A54" i="44"/>
  <c r="A55" i="44"/>
  <c r="A56" i="44"/>
  <c r="A57" i="44"/>
  <c r="A30" i="44"/>
  <c r="E3" i="3"/>
  <c r="L3" i="3"/>
  <c r="A4" i="44"/>
  <c r="A5" i="44"/>
  <c r="A6" i="44"/>
  <c r="A7" i="44"/>
  <c r="A8" i="44"/>
  <c r="A9" i="44"/>
  <c r="A10" i="44"/>
  <c r="A11" i="44"/>
  <c r="A12" i="44"/>
  <c r="A13" i="44"/>
  <c r="A14" i="44"/>
  <c r="A15" i="44"/>
  <c r="A16" i="44"/>
  <c r="A17" i="44"/>
  <c r="A18" i="44"/>
  <c r="A19" i="44"/>
  <c r="A20" i="44"/>
  <c r="A21" i="44"/>
  <c r="A22" i="44"/>
  <c r="A23" i="44"/>
  <c r="A24" i="44"/>
  <c r="A25" i="44"/>
  <c r="A26" i="44"/>
  <c r="A27" i="44"/>
  <c r="A28" i="44"/>
  <c r="A29" i="44"/>
  <c r="A3" i="44"/>
  <c r="A2" i="44"/>
  <c r="D85" i="44"/>
  <c r="E85" i="44"/>
  <c r="F85" i="44"/>
  <c r="C15" i="44"/>
  <c r="C22" i="44"/>
  <c r="C29" i="44"/>
  <c r="C57" i="44"/>
  <c r="C85" i="44"/>
  <c r="C14" i="44"/>
  <c r="C21" i="44"/>
  <c r="C28" i="44"/>
  <c r="C56" i="44"/>
  <c r="C84" i="44"/>
  <c r="C13" i="44"/>
  <c r="C20" i="44"/>
  <c r="C27" i="44"/>
  <c r="C55" i="44"/>
  <c r="C83" i="44"/>
  <c r="C12" i="44"/>
  <c r="C19" i="44"/>
  <c r="C26" i="44"/>
  <c r="C54" i="44"/>
  <c r="C82" i="44"/>
  <c r="C11" i="44"/>
  <c r="C18" i="44"/>
  <c r="C25" i="44"/>
  <c r="C53" i="44"/>
  <c r="C81" i="44"/>
  <c r="C10" i="44"/>
  <c r="C17" i="44"/>
  <c r="C24" i="44"/>
  <c r="C52" i="44"/>
  <c r="C80" i="44"/>
  <c r="C9" i="44"/>
  <c r="C16" i="44"/>
  <c r="C23" i="44"/>
  <c r="C51" i="44"/>
  <c r="C79" i="44"/>
  <c r="C50" i="44"/>
  <c r="C78" i="44"/>
  <c r="C49" i="44"/>
  <c r="C77" i="44"/>
  <c r="C48" i="44"/>
  <c r="C76" i="44"/>
  <c r="C47" i="44"/>
  <c r="C75" i="44"/>
  <c r="C46" i="44"/>
  <c r="C74" i="44"/>
  <c r="C45" i="44"/>
  <c r="C73" i="44"/>
  <c r="C44" i="44"/>
  <c r="C72" i="44"/>
  <c r="C43" i="44"/>
  <c r="C71" i="44"/>
  <c r="C42" i="44"/>
  <c r="C70" i="44"/>
  <c r="C41" i="44"/>
  <c r="C69" i="44"/>
  <c r="C40" i="44"/>
  <c r="C68" i="44"/>
  <c r="C39" i="44"/>
  <c r="C67" i="44"/>
  <c r="C38" i="44"/>
  <c r="C66" i="44"/>
  <c r="C37" i="44"/>
  <c r="C65" i="44"/>
  <c r="C36" i="44"/>
  <c r="C64" i="44"/>
  <c r="C35" i="44"/>
  <c r="C63" i="44"/>
  <c r="C34" i="44"/>
  <c r="C62" i="44"/>
  <c r="C33" i="44"/>
  <c r="C61" i="44"/>
  <c r="C32" i="44"/>
  <c r="C60" i="44"/>
  <c r="C31" i="44"/>
  <c r="C59" i="44"/>
  <c r="C30" i="44"/>
  <c r="C58" i="44"/>
  <c r="D2" i="44"/>
  <c r="E2" i="44"/>
  <c r="F2" i="44"/>
  <c r="G2" i="44"/>
  <c r="H2" i="44"/>
  <c r="I2" i="44"/>
  <c r="J2" i="44"/>
  <c r="D3" i="44"/>
  <c r="E3" i="44"/>
  <c r="F3" i="44"/>
  <c r="G3" i="44"/>
  <c r="H3" i="44"/>
  <c r="I3" i="44"/>
  <c r="J3" i="44"/>
  <c r="D4" i="44"/>
  <c r="E4" i="44"/>
  <c r="F4" i="44"/>
  <c r="G4" i="44"/>
  <c r="H4" i="44"/>
  <c r="I4" i="44"/>
  <c r="J4" i="44"/>
  <c r="D5" i="44"/>
  <c r="E5" i="44"/>
  <c r="F5" i="44"/>
  <c r="G5" i="44"/>
  <c r="H5" i="44"/>
  <c r="I5" i="44"/>
  <c r="J5" i="44"/>
  <c r="D6" i="44"/>
  <c r="E6" i="44"/>
  <c r="F6" i="44"/>
  <c r="G6" i="44"/>
  <c r="H6" i="44"/>
  <c r="I6" i="44"/>
  <c r="J6" i="44"/>
  <c r="D7" i="44"/>
  <c r="E7" i="44"/>
  <c r="F7" i="44"/>
  <c r="G7" i="44"/>
  <c r="H7" i="44"/>
  <c r="I7" i="44"/>
  <c r="J7" i="44"/>
  <c r="D8" i="44"/>
  <c r="E8" i="44"/>
  <c r="F8" i="44"/>
  <c r="G8" i="44"/>
  <c r="H8" i="44"/>
  <c r="I8" i="44"/>
  <c r="J8" i="44"/>
  <c r="D9" i="44"/>
  <c r="E9" i="44"/>
  <c r="F9" i="44"/>
  <c r="G9" i="44"/>
  <c r="H9" i="44"/>
  <c r="I9" i="44"/>
  <c r="J9" i="44"/>
  <c r="D10" i="44"/>
  <c r="E10" i="44"/>
  <c r="F10" i="44"/>
  <c r="G10" i="44"/>
  <c r="H10" i="44"/>
  <c r="I10" i="44"/>
  <c r="J10" i="44"/>
  <c r="D11" i="44"/>
  <c r="E11" i="44"/>
  <c r="F11" i="44"/>
  <c r="G11" i="44"/>
  <c r="H11" i="44"/>
  <c r="I11" i="44"/>
  <c r="J11" i="44"/>
  <c r="D12" i="44"/>
  <c r="E12" i="44"/>
  <c r="F12" i="44"/>
  <c r="G12" i="44"/>
  <c r="H12" i="44"/>
  <c r="I12" i="44"/>
  <c r="J12" i="44"/>
  <c r="D13" i="44"/>
  <c r="E13" i="44"/>
  <c r="F13" i="44"/>
  <c r="G13" i="44"/>
  <c r="H13" i="44"/>
  <c r="I13" i="44"/>
  <c r="J13" i="44"/>
  <c r="D14" i="44"/>
  <c r="E14" i="44"/>
  <c r="F14" i="44"/>
  <c r="G14" i="44"/>
  <c r="H14" i="44"/>
  <c r="I14" i="44"/>
  <c r="J14" i="44"/>
  <c r="D15" i="44"/>
  <c r="E15" i="44"/>
  <c r="F15" i="44"/>
  <c r="G15" i="44"/>
  <c r="H15" i="44"/>
  <c r="I15" i="44"/>
  <c r="J15" i="44"/>
  <c r="D16" i="44"/>
  <c r="E16" i="44"/>
  <c r="F16" i="44"/>
  <c r="G16" i="44"/>
  <c r="H16" i="44"/>
  <c r="I16" i="44"/>
  <c r="J16" i="44"/>
  <c r="D17" i="44"/>
  <c r="E17" i="44"/>
  <c r="F17" i="44"/>
  <c r="G17" i="44"/>
  <c r="H17" i="44"/>
  <c r="I17" i="44"/>
  <c r="J17" i="44"/>
  <c r="D18" i="44"/>
  <c r="E18" i="44"/>
  <c r="F18" i="44"/>
  <c r="G18" i="44"/>
  <c r="H18" i="44"/>
  <c r="I18" i="44"/>
  <c r="J18" i="44"/>
  <c r="D19" i="44"/>
  <c r="E19" i="44"/>
  <c r="F19" i="44"/>
  <c r="G19" i="44"/>
  <c r="H19" i="44"/>
  <c r="I19" i="44"/>
  <c r="J19" i="44"/>
  <c r="D20" i="44"/>
  <c r="E20" i="44"/>
  <c r="F20" i="44"/>
  <c r="G20" i="44"/>
  <c r="H20" i="44"/>
  <c r="I20" i="44"/>
  <c r="J20" i="44"/>
  <c r="D21" i="44"/>
  <c r="E21" i="44"/>
  <c r="F21" i="44"/>
  <c r="G21" i="44"/>
  <c r="H21" i="44"/>
  <c r="I21" i="44"/>
  <c r="J21" i="44"/>
  <c r="D22" i="44"/>
  <c r="E22" i="44"/>
  <c r="F22" i="44"/>
  <c r="G22" i="44"/>
  <c r="H22" i="44"/>
  <c r="I22" i="44"/>
  <c r="J22" i="44"/>
  <c r="D23" i="44"/>
  <c r="E23" i="44"/>
  <c r="F23" i="44"/>
  <c r="G23" i="44"/>
  <c r="H23" i="44"/>
  <c r="I23" i="44"/>
  <c r="J23" i="44"/>
  <c r="D24" i="44"/>
  <c r="E24" i="44"/>
  <c r="F24" i="44"/>
  <c r="G24" i="44"/>
  <c r="H24" i="44"/>
  <c r="I24" i="44"/>
  <c r="J24" i="44"/>
  <c r="D25" i="44"/>
  <c r="E25" i="44"/>
  <c r="F25" i="44"/>
  <c r="G25" i="44"/>
  <c r="H25" i="44"/>
  <c r="I25" i="44"/>
  <c r="J25" i="44"/>
  <c r="D26" i="44"/>
  <c r="E26" i="44"/>
  <c r="F26" i="44"/>
  <c r="G26" i="44"/>
  <c r="H26" i="44"/>
  <c r="I26" i="44"/>
  <c r="J26" i="44"/>
  <c r="D27" i="44"/>
  <c r="E27" i="44"/>
  <c r="F27" i="44"/>
  <c r="G27" i="44"/>
  <c r="H27" i="44"/>
  <c r="I27" i="44"/>
  <c r="J27" i="44"/>
  <c r="D28" i="44"/>
  <c r="E28" i="44"/>
  <c r="F28" i="44"/>
  <c r="G28" i="44"/>
  <c r="H28" i="44"/>
  <c r="I28" i="44"/>
  <c r="J28" i="44"/>
  <c r="D29" i="44"/>
  <c r="E29" i="44"/>
  <c r="F29" i="44"/>
  <c r="G29" i="44"/>
  <c r="H29" i="44"/>
  <c r="I29" i="44"/>
  <c r="J29" i="44"/>
  <c r="D30" i="44"/>
  <c r="E30" i="44"/>
  <c r="F30" i="44"/>
  <c r="G30" i="44"/>
  <c r="H30" i="44"/>
  <c r="I30" i="44"/>
  <c r="J30" i="44"/>
  <c r="D31" i="44"/>
  <c r="E31" i="44"/>
  <c r="F31" i="44"/>
  <c r="G31" i="44"/>
  <c r="H31" i="44"/>
  <c r="I31" i="44"/>
  <c r="J31" i="44"/>
  <c r="D32" i="44"/>
  <c r="E32" i="44"/>
  <c r="F32" i="44"/>
  <c r="G32" i="44"/>
  <c r="H32" i="44"/>
  <c r="I32" i="44"/>
  <c r="J32" i="44"/>
  <c r="D33" i="44"/>
  <c r="E33" i="44"/>
  <c r="F33" i="44"/>
  <c r="G33" i="44"/>
  <c r="H33" i="44"/>
  <c r="I33" i="44"/>
  <c r="J33" i="44"/>
  <c r="D34" i="44"/>
  <c r="E34" i="44"/>
  <c r="F34" i="44"/>
  <c r="G34" i="44"/>
  <c r="H34" i="44"/>
  <c r="I34" i="44"/>
  <c r="J34" i="44"/>
  <c r="D35" i="44"/>
  <c r="E35" i="44"/>
  <c r="F35" i="44"/>
  <c r="G35" i="44"/>
  <c r="H35" i="44"/>
  <c r="I35" i="44"/>
  <c r="J35" i="44"/>
  <c r="D36" i="44"/>
  <c r="E36" i="44"/>
  <c r="F36" i="44"/>
  <c r="G36" i="44"/>
  <c r="H36" i="44"/>
  <c r="I36" i="44"/>
  <c r="J36" i="44"/>
  <c r="D37" i="44"/>
  <c r="E37" i="44"/>
  <c r="F37" i="44"/>
  <c r="G37" i="44"/>
  <c r="H37" i="44"/>
  <c r="I37" i="44"/>
  <c r="J37" i="44"/>
  <c r="D38" i="44"/>
  <c r="E38" i="44"/>
  <c r="F38" i="44"/>
  <c r="G38" i="44"/>
  <c r="H38" i="44"/>
  <c r="I38" i="44"/>
  <c r="J38" i="44"/>
  <c r="D39" i="44"/>
  <c r="E39" i="44"/>
  <c r="F39" i="44"/>
  <c r="G39" i="44"/>
  <c r="H39" i="44"/>
  <c r="I39" i="44"/>
  <c r="J39" i="44"/>
  <c r="D40" i="44"/>
  <c r="E40" i="44"/>
  <c r="F40" i="44"/>
  <c r="G40" i="44"/>
  <c r="H40" i="44"/>
  <c r="I40" i="44"/>
  <c r="J40" i="44"/>
  <c r="D41" i="44"/>
  <c r="E41" i="44"/>
  <c r="F41" i="44"/>
  <c r="G41" i="44"/>
  <c r="H41" i="44"/>
  <c r="I41" i="44"/>
  <c r="J41" i="44"/>
  <c r="D42" i="44"/>
  <c r="E42" i="44"/>
  <c r="F42" i="44"/>
  <c r="G42" i="44"/>
  <c r="H42" i="44"/>
  <c r="I42" i="44"/>
  <c r="J42" i="44"/>
  <c r="D43" i="44"/>
  <c r="E43" i="44"/>
  <c r="F43" i="44"/>
  <c r="G43" i="44"/>
  <c r="H43" i="44"/>
  <c r="I43" i="44"/>
  <c r="J43" i="44"/>
  <c r="D44" i="44"/>
  <c r="E44" i="44"/>
  <c r="F44" i="44"/>
  <c r="G44" i="44"/>
  <c r="H44" i="44"/>
  <c r="I44" i="44"/>
  <c r="J44" i="44"/>
  <c r="D45" i="44"/>
  <c r="E45" i="44"/>
  <c r="F45" i="44"/>
  <c r="G45" i="44"/>
  <c r="H45" i="44"/>
  <c r="I45" i="44"/>
  <c r="J45" i="44"/>
  <c r="D46" i="44"/>
  <c r="E46" i="44"/>
  <c r="F46" i="44"/>
  <c r="G46" i="44"/>
  <c r="H46" i="44"/>
  <c r="I46" i="44"/>
  <c r="J46" i="44"/>
  <c r="D47" i="44"/>
  <c r="E47" i="44"/>
  <c r="F47" i="44"/>
  <c r="G47" i="44"/>
  <c r="H47" i="44"/>
  <c r="I47" i="44"/>
  <c r="J47" i="44"/>
  <c r="D48" i="44"/>
  <c r="E48" i="44"/>
  <c r="F48" i="44"/>
  <c r="G48" i="44"/>
  <c r="H48" i="44"/>
  <c r="I48" i="44"/>
  <c r="J48" i="44"/>
  <c r="D49" i="44"/>
  <c r="E49" i="44"/>
  <c r="F49" i="44"/>
  <c r="G49" i="44"/>
  <c r="H49" i="44"/>
  <c r="I49" i="44"/>
  <c r="J49" i="44"/>
  <c r="D50" i="44"/>
  <c r="E50" i="44"/>
  <c r="F50" i="44"/>
  <c r="G50" i="44"/>
  <c r="H50" i="44"/>
  <c r="I50" i="44"/>
  <c r="J50" i="44"/>
  <c r="D51" i="44"/>
  <c r="E51" i="44"/>
  <c r="F51" i="44"/>
  <c r="G51" i="44"/>
  <c r="H51" i="44"/>
  <c r="I51" i="44"/>
  <c r="J51" i="44"/>
  <c r="D52" i="44"/>
  <c r="E52" i="44"/>
  <c r="F52" i="44"/>
  <c r="G52" i="44"/>
  <c r="H52" i="44"/>
  <c r="I52" i="44"/>
  <c r="J52" i="44"/>
  <c r="D53" i="44"/>
  <c r="E53" i="44"/>
  <c r="F53" i="44"/>
  <c r="G53" i="44"/>
  <c r="H53" i="44"/>
  <c r="I53" i="44"/>
  <c r="J53" i="44"/>
  <c r="D54" i="44"/>
  <c r="E54" i="44"/>
  <c r="F54" i="44"/>
  <c r="G54" i="44"/>
  <c r="H54" i="44"/>
  <c r="I54" i="44"/>
  <c r="J54" i="44"/>
  <c r="D55" i="44"/>
  <c r="E55" i="44"/>
  <c r="F55" i="44"/>
  <c r="G55" i="44"/>
  <c r="H55" i="44"/>
  <c r="I55" i="44"/>
  <c r="J55" i="44"/>
  <c r="D56" i="44"/>
  <c r="E56" i="44"/>
  <c r="F56" i="44"/>
  <c r="G56" i="44"/>
  <c r="H56" i="44"/>
  <c r="I56" i="44"/>
  <c r="J56" i="44"/>
  <c r="D57" i="44"/>
  <c r="E57" i="44"/>
  <c r="F57" i="44"/>
  <c r="G57" i="44"/>
  <c r="H57" i="44"/>
  <c r="I57" i="44"/>
  <c r="J57" i="44"/>
  <c r="D58" i="44"/>
  <c r="E58" i="44"/>
  <c r="F58" i="44"/>
  <c r="G58" i="44"/>
  <c r="H58" i="44"/>
  <c r="I58" i="44"/>
  <c r="J58" i="44"/>
  <c r="D59" i="44"/>
  <c r="E59" i="44"/>
  <c r="F59" i="44"/>
  <c r="G59" i="44"/>
  <c r="H59" i="44"/>
  <c r="I59" i="44"/>
  <c r="J59" i="44"/>
  <c r="D60" i="44"/>
  <c r="E60" i="44"/>
  <c r="F60" i="44"/>
  <c r="G60" i="44"/>
  <c r="H60" i="44"/>
  <c r="I60" i="44"/>
  <c r="J60" i="44"/>
  <c r="D61" i="44"/>
  <c r="E61" i="44"/>
  <c r="F61" i="44"/>
  <c r="G61" i="44"/>
  <c r="H61" i="44"/>
  <c r="I61" i="44"/>
  <c r="J61" i="44"/>
  <c r="D62" i="44"/>
  <c r="E62" i="44"/>
  <c r="F62" i="44"/>
  <c r="G62" i="44"/>
  <c r="H62" i="44"/>
  <c r="I62" i="44"/>
  <c r="J62" i="44"/>
  <c r="D63" i="44"/>
  <c r="E63" i="44"/>
  <c r="F63" i="44"/>
  <c r="G63" i="44"/>
  <c r="H63" i="44"/>
  <c r="I63" i="44"/>
  <c r="J63" i="44"/>
  <c r="D64" i="44"/>
  <c r="E64" i="44"/>
  <c r="F64" i="44"/>
  <c r="G64" i="44"/>
  <c r="H64" i="44"/>
  <c r="I64" i="44"/>
  <c r="J64" i="44"/>
  <c r="D65" i="44"/>
  <c r="E65" i="44"/>
  <c r="F65" i="44"/>
  <c r="G65" i="44"/>
  <c r="H65" i="44"/>
  <c r="I65" i="44"/>
  <c r="J65" i="44"/>
  <c r="D66" i="44"/>
  <c r="E66" i="44"/>
  <c r="F66" i="44"/>
  <c r="G66" i="44"/>
  <c r="H66" i="44"/>
  <c r="I66" i="44"/>
  <c r="J66" i="44"/>
  <c r="D67" i="44"/>
  <c r="E67" i="44"/>
  <c r="F67" i="44"/>
  <c r="G67" i="44"/>
  <c r="H67" i="44"/>
  <c r="I67" i="44"/>
  <c r="J67" i="44"/>
  <c r="D68" i="44"/>
  <c r="E68" i="44"/>
  <c r="F68" i="44"/>
  <c r="G68" i="44"/>
  <c r="H68" i="44"/>
  <c r="I68" i="44"/>
  <c r="J68" i="44"/>
  <c r="D69" i="44"/>
  <c r="E69" i="44"/>
  <c r="F69" i="44"/>
  <c r="G69" i="44"/>
  <c r="H69" i="44"/>
  <c r="I69" i="44"/>
  <c r="J69" i="44"/>
  <c r="D70" i="44"/>
  <c r="E70" i="44"/>
  <c r="F70" i="44"/>
  <c r="G70" i="44"/>
  <c r="H70" i="44"/>
  <c r="I70" i="44"/>
  <c r="J70" i="44"/>
  <c r="D71" i="44"/>
  <c r="E71" i="44"/>
  <c r="F71" i="44"/>
  <c r="G71" i="44"/>
  <c r="H71" i="44"/>
  <c r="I71" i="44"/>
  <c r="J71" i="44"/>
  <c r="D72" i="44"/>
  <c r="E72" i="44"/>
  <c r="F72" i="44"/>
  <c r="G72" i="44"/>
  <c r="H72" i="44"/>
  <c r="I72" i="44"/>
  <c r="J72" i="44"/>
  <c r="D73" i="44"/>
  <c r="E73" i="44"/>
  <c r="F73" i="44"/>
  <c r="G73" i="44"/>
  <c r="H73" i="44"/>
  <c r="I73" i="44"/>
  <c r="J73" i="44"/>
  <c r="D74" i="44"/>
  <c r="E74" i="44"/>
  <c r="F74" i="44"/>
  <c r="G74" i="44"/>
  <c r="H74" i="44"/>
  <c r="I74" i="44"/>
  <c r="J74" i="44"/>
  <c r="D75" i="44"/>
  <c r="E75" i="44"/>
  <c r="F75" i="44"/>
  <c r="G75" i="44"/>
  <c r="H75" i="44"/>
  <c r="I75" i="44"/>
  <c r="J75" i="44"/>
  <c r="D76" i="44"/>
  <c r="E76" i="44"/>
  <c r="F76" i="44"/>
  <c r="G76" i="44"/>
  <c r="H76" i="44"/>
  <c r="I76" i="44"/>
  <c r="J76" i="44"/>
  <c r="D77" i="44"/>
  <c r="E77" i="44"/>
  <c r="F77" i="44"/>
  <c r="G77" i="44"/>
  <c r="H77" i="44"/>
  <c r="I77" i="44"/>
  <c r="J77" i="44"/>
  <c r="D78" i="44"/>
  <c r="E78" i="44"/>
  <c r="F78" i="44"/>
  <c r="G78" i="44"/>
  <c r="H78" i="44"/>
  <c r="I78" i="44"/>
  <c r="J78" i="44"/>
  <c r="D79" i="44"/>
  <c r="E79" i="44"/>
  <c r="F79" i="44"/>
  <c r="G79" i="44"/>
  <c r="H79" i="44"/>
  <c r="I79" i="44"/>
  <c r="J79" i="44"/>
  <c r="D80" i="44"/>
  <c r="E80" i="44"/>
  <c r="F80" i="44"/>
  <c r="G80" i="44"/>
  <c r="H80" i="44"/>
  <c r="I80" i="44"/>
  <c r="J80" i="44"/>
  <c r="D81" i="44"/>
  <c r="E81" i="44"/>
  <c r="F81" i="44"/>
  <c r="G81" i="44"/>
  <c r="H81" i="44"/>
  <c r="I81" i="44"/>
  <c r="J81" i="44"/>
  <c r="D82" i="44"/>
  <c r="E82" i="44"/>
  <c r="F82" i="44"/>
  <c r="G82" i="44"/>
  <c r="H82" i="44"/>
  <c r="I82" i="44"/>
  <c r="J82" i="44"/>
  <c r="D83" i="44"/>
  <c r="E83" i="44"/>
  <c r="F83" i="44"/>
  <c r="G83" i="44"/>
  <c r="H83" i="44"/>
  <c r="I83" i="44"/>
  <c r="J83" i="44"/>
  <c r="D84" i="44"/>
  <c r="E84" i="44"/>
  <c r="F84" i="44"/>
  <c r="G84" i="44"/>
  <c r="H84" i="44"/>
  <c r="I84" i="44"/>
  <c r="J84" i="44"/>
  <c r="G85" i="44"/>
  <c r="H85" i="44"/>
  <c r="I85" i="44"/>
  <c r="J85" i="44"/>
  <c r="E38" i="35"/>
  <c r="F38" i="35"/>
  <c r="G38" i="35"/>
  <c r="K12" i="24"/>
  <c r="L12" i="24"/>
  <c r="E20" i="39"/>
  <c r="D22" i="39"/>
  <c r="D13" i="30"/>
  <c r="J5" i="30"/>
  <c r="E13" i="30"/>
  <c r="K5" i="30"/>
  <c r="C13" i="30"/>
  <c r="I5" i="30"/>
  <c r="L36" i="35"/>
  <c r="F36" i="35"/>
  <c r="F75" i="35"/>
  <c r="J12" i="24"/>
  <c r="I12" i="24"/>
  <c r="H12" i="24"/>
  <c r="G12" i="24"/>
  <c r="F12" i="24"/>
  <c r="E70" i="25"/>
  <c r="D70" i="25"/>
  <c r="C70" i="25"/>
  <c r="B70" i="25"/>
  <c r="H38" i="35"/>
  <c r="L38" i="35"/>
  <c r="K38" i="35"/>
  <c r="J38" i="35"/>
  <c r="O36" i="3"/>
  <c r="F43" i="3"/>
  <c r="D73" i="43"/>
  <c r="C73" i="43"/>
  <c r="B73" i="43"/>
  <c r="B8" i="34"/>
  <c r="A73" i="43"/>
  <c r="O24" i="3"/>
  <c r="F42" i="3"/>
  <c r="D72" i="43"/>
  <c r="C72" i="43"/>
  <c r="B72" i="43"/>
  <c r="B7" i="34"/>
  <c r="A72" i="43"/>
  <c r="O12" i="3"/>
  <c r="D71" i="43"/>
  <c r="C71" i="43"/>
  <c r="B71" i="43"/>
  <c r="B6" i="34"/>
  <c r="A71" i="43"/>
  <c r="N36" i="3"/>
  <c r="E43" i="3"/>
  <c r="D70" i="43"/>
  <c r="C70" i="43"/>
  <c r="B70" i="43"/>
  <c r="A70" i="43"/>
  <c r="N24" i="3"/>
  <c r="E42" i="3"/>
  <c r="D69" i="43"/>
  <c r="C69" i="43"/>
  <c r="B69" i="43"/>
  <c r="A69" i="43"/>
  <c r="N12" i="3"/>
  <c r="E41" i="3"/>
  <c r="D68" i="43"/>
  <c r="C68" i="43"/>
  <c r="B68" i="43"/>
  <c r="A68" i="43"/>
  <c r="M36" i="3"/>
  <c r="D43" i="3"/>
  <c r="D67" i="43"/>
  <c r="C67" i="43"/>
  <c r="B67" i="43"/>
  <c r="A67" i="43"/>
  <c r="M24" i="3"/>
  <c r="D42" i="3"/>
  <c r="D66" i="43"/>
  <c r="C66" i="43"/>
  <c r="B66" i="43"/>
  <c r="A66" i="43"/>
  <c r="M12" i="3"/>
  <c r="D41" i="3"/>
  <c r="D65" i="43"/>
  <c r="C65" i="43"/>
  <c r="B65" i="43"/>
  <c r="A65" i="43"/>
  <c r="L36" i="3"/>
  <c r="C43" i="3"/>
  <c r="D64" i="43"/>
  <c r="C64" i="43"/>
  <c r="B64" i="43"/>
  <c r="A64" i="43"/>
  <c r="L24" i="3"/>
  <c r="C42" i="3"/>
  <c r="D63" i="43"/>
  <c r="C63" i="43"/>
  <c r="B63" i="43"/>
  <c r="A63" i="43"/>
  <c r="L12" i="3"/>
  <c r="C41" i="3"/>
  <c r="D62" i="43"/>
  <c r="C62" i="43"/>
  <c r="B62" i="43"/>
  <c r="A62" i="43"/>
  <c r="O37" i="33"/>
  <c r="O45" i="33"/>
  <c r="F36" i="34"/>
  <c r="D61" i="43"/>
  <c r="C61" i="43"/>
  <c r="B61" i="43"/>
  <c r="A61" i="43"/>
  <c r="O25" i="33"/>
  <c r="O44" i="33"/>
  <c r="F35" i="34"/>
  <c r="D60" i="43"/>
  <c r="C60" i="43"/>
  <c r="B60" i="43"/>
  <c r="A60" i="43"/>
  <c r="O43" i="33"/>
  <c r="F34" i="34"/>
  <c r="D59" i="43"/>
  <c r="C59" i="43"/>
  <c r="B59" i="43"/>
  <c r="A59" i="43"/>
  <c r="N37" i="33"/>
  <c r="N45" i="33"/>
  <c r="E36" i="34"/>
  <c r="D58" i="43"/>
  <c r="C58" i="43"/>
  <c r="B58" i="43"/>
  <c r="A58" i="43"/>
  <c r="N25" i="33"/>
  <c r="N44" i="33"/>
  <c r="E35" i="34"/>
  <c r="D57" i="43"/>
  <c r="C57" i="43"/>
  <c r="B57" i="43"/>
  <c r="A57" i="43"/>
  <c r="N43" i="33"/>
  <c r="E34" i="34"/>
  <c r="D56" i="43"/>
  <c r="C56" i="43"/>
  <c r="B56" i="43"/>
  <c r="A56" i="43"/>
  <c r="M37" i="33"/>
  <c r="M45" i="33"/>
  <c r="D36" i="34"/>
  <c r="D55" i="43"/>
  <c r="C55" i="43"/>
  <c r="B55" i="43"/>
  <c r="A55" i="43"/>
  <c r="M25" i="33"/>
  <c r="M44" i="33"/>
  <c r="D35" i="34"/>
  <c r="D54" i="43"/>
  <c r="C54" i="43"/>
  <c r="B54" i="43"/>
  <c r="A54" i="43"/>
  <c r="M43" i="33"/>
  <c r="D34" i="34"/>
  <c r="D53" i="43"/>
  <c r="C53" i="43"/>
  <c r="B53" i="43"/>
  <c r="A53" i="43"/>
  <c r="L37" i="33"/>
  <c r="L45" i="33"/>
  <c r="C36" i="34"/>
  <c r="D52" i="43"/>
  <c r="C52" i="43"/>
  <c r="B52" i="43"/>
  <c r="A52" i="43"/>
  <c r="L25" i="33"/>
  <c r="L44" i="33"/>
  <c r="C35" i="34"/>
  <c r="D51" i="43"/>
  <c r="C51" i="43"/>
  <c r="B51" i="43"/>
  <c r="A51" i="43"/>
  <c r="C34" i="34"/>
  <c r="D50" i="43"/>
  <c r="C50" i="43"/>
  <c r="B50" i="43"/>
  <c r="A50" i="43"/>
  <c r="D49" i="43"/>
  <c r="C49" i="43"/>
  <c r="B49" i="43"/>
  <c r="A49" i="43"/>
  <c r="D48" i="43"/>
  <c r="C48" i="43"/>
  <c r="B48" i="43"/>
  <c r="A48" i="43"/>
  <c r="D47" i="43"/>
  <c r="C47" i="43"/>
  <c r="B47" i="43"/>
  <c r="A47" i="43"/>
  <c r="D46" i="43"/>
  <c r="C46" i="43"/>
  <c r="B46" i="43"/>
  <c r="A46" i="43"/>
  <c r="D45" i="43"/>
  <c r="C45" i="43"/>
  <c r="B45" i="43"/>
  <c r="A45" i="43"/>
  <c r="D44" i="43"/>
  <c r="C44" i="43"/>
  <c r="B44" i="43"/>
  <c r="A44" i="43"/>
  <c r="D43" i="43"/>
  <c r="C43" i="43"/>
  <c r="B43" i="43"/>
  <c r="A43" i="43"/>
  <c r="D42" i="43"/>
  <c r="C42" i="43"/>
  <c r="B42" i="43"/>
  <c r="A42" i="43"/>
  <c r="D41" i="43"/>
  <c r="C41" i="43"/>
  <c r="B41" i="43"/>
  <c r="A41" i="43"/>
  <c r="D40" i="43"/>
  <c r="C40" i="43"/>
  <c r="B40" i="43"/>
  <c r="A40" i="43"/>
  <c r="D39" i="43"/>
  <c r="C39" i="43"/>
  <c r="B39" i="43"/>
  <c r="A39" i="43"/>
  <c r="D38" i="43"/>
  <c r="C38" i="43"/>
  <c r="B38" i="43"/>
  <c r="A38" i="43"/>
  <c r="F42" i="31"/>
  <c r="F22" i="34"/>
  <c r="D37" i="43"/>
  <c r="C37" i="43"/>
  <c r="B37" i="43"/>
  <c r="A37" i="43"/>
  <c r="F30" i="31"/>
  <c r="F21" i="34"/>
  <c r="D36" i="43"/>
  <c r="C36" i="43"/>
  <c r="B36" i="43"/>
  <c r="A36" i="43"/>
  <c r="F18" i="31"/>
  <c r="F20" i="34"/>
  <c r="D35" i="43"/>
  <c r="C35" i="43"/>
  <c r="B35" i="43"/>
  <c r="A35" i="43"/>
  <c r="E42" i="31"/>
  <c r="E22" i="34"/>
  <c r="D34" i="43"/>
  <c r="C34" i="43"/>
  <c r="B34" i="43"/>
  <c r="A34" i="43"/>
  <c r="E30" i="31"/>
  <c r="E21" i="34"/>
  <c r="D33" i="43"/>
  <c r="C33" i="43"/>
  <c r="B33" i="43"/>
  <c r="A33" i="43"/>
  <c r="E18" i="31"/>
  <c r="E20" i="34"/>
  <c r="D32" i="43"/>
  <c r="C32" i="43"/>
  <c r="B32" i="43"/>
  <c r="A32" i="43"/>
  <c r="D42" i="31"/>
  <c r="D22" i="34"/>
  <c r="D31" i="43"/>
  <c r="C31" i="43"/>
  <c r="B31" i="43"/>
  <c r="A31" i="43"/>
  <c r="D30" i="31"/>
  <c r="D21" i="34"/>
  <c r="D30" i="43"/>
  <c r="C30" i="43"/>
  <c r="B30" i="43"/>
  <c r="A30" i="43"/>
  <c r="D18" i="31"/>
  <c r="D20" i="34"/>
  <c r="D29" i="43"/>
  <c r="C29" i="43"/>
  <c r="B29" i="43"/>
  <c r="A29" i="43"/>
  <c r="C22" i="34"/>
  <c r="D28" i="43"/>
  <c r="C28" i="43"/>
  <c r="B28" i="43"/>
  <c r="A28" i="43"/>
  <c r="C30" i="31"/>
  <c r="C21" i="34"/>
  <c r="D27" i="43"/>
  <c r="C27" i="43"/>
  <c r="B27" i="43"/>
  <c r="A27" i="43"/>
  <c r="C20" i="34"/>
  <c r="D26" i="43"/>
  <c r="C26" i="43"/>
  <c r="B26" i="43"/>
  <c r="A26" i="43"/>
  <c r="D25" i="43"/>
  <c r="C25" i="43"/>
  <c r="B25" i="43"/>
  <c r="A25" i="43"/>
  <c r="D24" i="43"/>
  <c r="C24" i="43"/>
  <c r="B24" i="43"/>
  <c r="A24" i="43"/>
  <c r="D23" i="43"/>
  <c r="C23" i="43"/>
  <c r="B23" i="43"/>
  <c r="A23" i="43"/>
  <c r="D22" i="43"/>
  <c r="C22" i="43"/>
  <c r="B22" i="43"/>
  <c r="A22" i="43"/>
  <c r="D21" i="43"/>
  <c r="C21" i="43"/>
  <c r="B21" i="43"/>
  <c r="A21" i="43"/>
  <c r="D20" i="43"/>
  <c r="C20" i="43"/>
  <c r="B20" i="43"/>
  <c r="A20" i="43"/>
  <c r="D19" i="43"/>
  <c r="C19" i="43"/>
  <c r="B19" i="43"/>
  <c r="A19" i="43"/>
  <c r="D18" i="43"/>
  <c r="C18" i="43"/>
  <c r="B18" i="43"/>
  <c r="A18" i="43"/>
  <c r="D17" i="43"/>
  <c r="C17" i="43"/>
  <c r="B17" i="43"/>
  <c r="A17" i="43"/>
  <c r="D16" i="43"/>
  <c r="C16" i="43"/>
  <c r="B16" i="43"/>
  <c r="A16" i="43"/>
  <c r="D15" i="43"/>
  <c r="C15" i="43"/>
  <c r="B15" i="43"/>
  <c r="A15" i="43"/>
  <c r="D14" i="43"/>
  <c r="C14" i="43"/>
  <c r="B14" i="43"/>
  <c r="A14" i="43"/>
  <c r="F32" i="30"/>
  <c r="F8" i="34"/>
  <c r="D13" i="43"/>
  <c r="C13" i="43"/>
  <c r="B13" i="43"/>
  <c r="A13" i="43"/>
  <c r="F31" i="30"/>
  <c r="F7" i="34"/>
  <c r="D12" i="43"/>
  <c r="C12" i="43"/>
  <c r="B12" i="43"/>
  <c r="A12" i="43"/>
  <c r="F30" i="30"/>
  <c r="F6" i="34"/>
  <c r="D11" i="43"/>
  <c r="C11" i="43"/>
  <c r="B11" i="43"/>
  <c r="A11" i="43"/>
  <c r="E32" i="30"/>
  <c r="E8" i="34"/>
  <c r="D10" i="43"/>
  <c r="C10" i="43"/>
  <c r="B10" i="43"/>
  <c r="A10" i="43"/>
  <c r="E31" i="30"/>
  <c r="E7" i="34"/>
  <c r="D9" i="43"/>
  <c r="C9" i="43"/>
  <c r="B9" i="43"/>
  <c r="A9" i="43"/>
  <c r="E30" i="30"/>
  <c r="E6" i="34"/>
  <c r="D8" i="43"/>
  <c r="C8" i="43"/>
  <c r="B8" i="43"/>
  <c r="A8" i="43"/>
  <c r="D32" i="30"/>
  <c r="D8" i="34"/>
  <c r="D7" i="43"/>
  <c r="C7" i="43"/>
  <c r="B7" i="43"/>
  <c r="A7" i="43"/>
  <c r="D31" i="30"/>
  <c r="D7" i="34"/>
  <c r="D6" i="43"/>
  <c r="C6" i="43"/>
  <c r="B6" i="43"/>
  <c r="A6" i="43"/>
  <c r="D30" i="30"/>
  <c r="D6" i="34"/>
  <c r="D5" i="43"/>
  <c r="C5" i="43"/>
  <c r="B5" i="43"/>
  <c r="A5" i="43"/>
  <c r="C32" i="30"/>
  <c r="C8" i="34"/>
  <c r="D4" i="43"/>
  <c r="C4" i="43"/>
  <c r="B4" i="43"/>
  <c r="A4" i="43"/>
  <c r="C31" i="30"/>
  <c r="C7" i="34"/>
  <c r="D3" i="43"/>
  <c r="C3" i="43"/>
  <c r="B3" i="43"/>
  <c r="A3" i="43"/>
  <c r="C6" i="34"/>
  <c r="D2" i="43"/>
  <c r="C2" i="43"/>
  <c r="B2" i="43"/>
  <c r="A2" i="43"/>
  <c r="G43" i="3"/>
  <c r="B43" i="3"/>
  <c r="G42" i="3"/>
  <c r="B42" i="3"/>
  <c r="G41" i="3"/>
  <c r="B41" i="3"/>
  <c r="F36" i="3"/>
  <c r="E36" i="3"/>
  <c r="D36" i="3"/>
  <c r="C36" i="3"/>
  <c r="F24" i="3"/>
  <c r="E24" i="3"/>
  <c r="D24" i="3"/>
  <c r="C24" i="3"/>
  <c r="F12" i="3"/>
  <c r="E12" i="3"/>
  <c r="D12" i="3"/>
  <c r="C12" i="3"/>
  <c r="C43" i="34"/>
  <c r="D43" i="34"/>
  <c r="E43" i="34"/>
  <c r="F43" i="34"/>
  <c r="G43" i="34"/>
  <c r="B15" i="34"/>
  <c r="B22" i="34"/>
  <c r="B29" i="34"/>
  <c r="B36" i="34"/>
  <c r="B43" i="34"/>
  <c r="C42" i="34"/>
  <c r="D42" i="34"/>
  <c r="E42" i="34"/>
  <c r="F42" i="34"/>
  <c r="G42" i="34"/>
  <c r="B14" i="34"/>
  <c r="B21" i="34"/>
  <c r="B28" i="34"/>
  <c r="B35" i="34"/>
  <c r="B42" i="34"/>
  <c r="C41" i="34"/>
  <c r="D41" i="34"/>
  <c r="E41" i="34"/>
  <c r="F41" i="34"/>
  <c r="G41" i="34"/>
  <c r="B13" i="34"/>
  <c r="B20" i="34"/>
  <c r="B27" i="34"/>
  <c r="B34" i="34"/>
  <c r="B41" i="34"/>
  <c r="G36" i="34"/>
  <c r="G35" i="34"/>
  <c r="G34" i="34"/>
  <c r="G29" i="34"/>
  <c r="G28" i="34"/>
  <c r="G27" i="34"/>
  <c r="G22" i="34"/>
  <c r="G21" i="34"/>
  <c r="G20" i="34"/>
  <c r="G15" i="34"/>
  <c r="G14" i="34"/>
  <c r="G13" i="34"/>
  <c r="G32" i="30"/>
  <c r="G8" i="34"/>
  <c r="G31" i="30"/>
  <c r="G7" i="34"/>
  <c r="G30" i="30"/>
  <c r="G6" i="34"/>
  <c r="P45" i="33"/>
  <c r="E24" i="32"/>
  <c r="K24" i="32"/>
  <c r="E28" i="33"/>
  <c r="L28" i="33"/>
  <c r="K45" i="33"/>
  <c r="P44" i="33"/>
  <c r="E13" i="32"/>
  <c r="K13" i="32"/>
  <c r="E16" i="33"/>
  <c r="L16" i="33"/>
  <c r="K44" i="33"/>
  <c r="P43" i="33"/>
  <c r="E2" i="32"/>
  <c r="K2" i="32"/>
  <c r="E4" i="33"/>
  <c r="L4" i="33"/>
  <c r="K43" i="33"/>
  <c r="F37" i="33"/>
  <c r="E37" i="33"/>
  <c r="D37" i="33"/>
  <c r="C37" i="33"/>
  <c r="F25" i="33"/>
  <c r="E25" i="33"/>
  <c r="D25" i="33"/>
  <c r="C25" i="33"/>
  <c r="F13" i="33"/>
  <c r="E13" i="33"/>
  <c r="D13" i="33"/>
  <c r="C13" i="33"/>
  <c r="F33" i="31"/>
  <c r="F21" i="31"/>
  <c r="F9" i="31"/>
  <c r="H8" i="31"/>
  <c r="H7" i="31"/>
  <c r="H6" i="31"/>
  <c r="B32" i="30"/>
  <c r="B31" i="30"/>
  <c r="B30" i="30"/>
  <c r="J21" i="30"/>
  <c r="I21" i="30"/>
  <c r="H21" i="30"/>
  <c r="E21" i="30"/>
  <c r="D21" i="30"/>
  <c r="C21" i="30"/>
  <c r="J13" i="30"/>
  <c r="I13" i="30"/>
  <c r="H13" i="30"/>
  <c r="B29" i="28"/>
  <c r="B28" i="28"/>
  <c r="B27" i="28"/>
  <c r="B22" i="28"/>
  <c r="B21" i="28"/>
  <c r="B20" i="28"/>
  <c r="E11" i="28"/>
  <c r="D11" i="28"/>
  <c r="C11" i="28"/>
  <c r="F22" i="2"/>
  <c r="F12" i="2"/>
  <c r="F2" i="2"/>
  <c r="F39" i="35"/>
  <c r="G45" i="35"/>
  <c r="F44" i="35"/>
  <c r="F45" i="35"/>
  <c r="F47" i="35"/>
  <c r="G39" i="35"/>
  <c r="G41" i="35"/>
  <c r="G44" i="35"/>
  <c r="F41" i="35"/>
  <c r="G46" i="35"/>
  <c r="E39" i="35"/>
  <c r="G47" i="35"/>
  <c r="E41" i="35"/>
  <c r="F46" i="35"/>
  <c r="E44" i="35"/>
  <c r="E45" i="35"/>
  <c r="E46" i="35"/>
  <c r="E47" i="35"/>
  <c r="G86" i="35"/>
  <c r="F84" i="35"/>
  <c r="H78" i="35"/>
  <c r="G80" i="35"/>
  <c r="E86" i="35"/>
  <c r="G84" i="35"/>
  <c r="F80" i="35"/>
  <c r="F83" i="35"/>
  <c r="E78" i="35"/>
  <c r="E80" i="35"/>
  <c r="F85" i="35"/>
  <c r="H80" i="35"/>
  <c r="E83" i="35"/>
  <c r="H83" i="35"/>
  <c r="E84" i="35"/>
  <c r="H84" i="35"/>
  <c r="E85" i="35"/>
  <c r="H86" i="35"/>
  <c r="G83" i="35"/>
  <c r="F78" i="35"/>
  <c r="G85" i="35"/>
  <c r="F86" i="35"/>
  <c r="G78" i="35"/>
  <c r="H85" i="35"/>
  <c r="H47" i="35" l="1"/>
  <c r="I47" i="35" s="1"/>
  <c r="H46" i="35"/>
  <c r="I46" i="35" s="1"/>
  <c r="H45" i="35"/>
  <c r="I45" i="35" s="1"/>
  <c r="H44" i="35"/>
  <c r="I44" i="35" s="1"/>
  <c r="H41" i="35"/>
  <c r="I41" i="35" s="1"/>
  <c r="L47" i="35"/>
  <c r="K47" i="35"/>
  <c r="J47" i="35"/>
  <c r="H39" i="35"/>
  <c r="I39" i="35" s="1"/>
  <c r="E42" i="35"/>
  <c r="K46" i="35"/>
  <c r="L46" i="35"/>
  <c r="J46" i="35"/>
  <c r="L44" i="35"/>
  <c r="J44" i="35"/>
  <c r="K44" i="35"/>
  <c r="J41" i="35"/>
  <c r="K41" i="35"/>
  <c r="L41" i="35"/>
  <c r="L39" i="35"/>
  <c r="L42" i="35" s="1"/>
  <c r="J39" i="35"/>
  <c r="K39" i="35"/>
  <c r="K42" i="35" s="1"/>
  <c r="G42" i="35"/>
  <c r="J45" i="35"/>
  <c r="L45" i="35"/>
  <c r="K45" i="35"/>
  <c r="F42" i="35"/>
  <c r="K8" i="50"/>
  <c r="J8" i="50"/>
  <c r="G81" i="35"/>
  <c r="F81" i="35"/>
  <c r="E81" i="35"/>
  <c r="H81" i="35"/>
  <c r="G49" i="35" l="1"/>
  <c r="G53" i="35" s="1"/>
  <c r="G52" i="35"/>
  <c r="K52" i="35"/>
  <c r="K49" i="35"/>
  <c r="K53" i="35" s="1"/>
  <c r="H42" i="35"/>
  <c r="I42" i="35" s="1"/>
  <c r="E52" i="35"/>
  <c r="E49" i="35"/>
  <c r="J42" i="35"/>
  <c r="L52" i="35"/>
  <c r="L49" i="35"/>
  <c r="L53" i="35" s="1"/>
  <c r="F52" i="35"/>
  <c r="F49" i="35"/>
  <c r="F53" i="35" s="1"/>
  <c r="F91" i="35"/>
  <c r="F88" i="35"/>
  <c r="G91" i="35"/>
  <c r="G88" i="35"/>
  <c r="H91" i="35"/>
  <c r="H88" i="35"/>
  <c r="E91" i="35"/>
  <c r="E88" i="35"/>
  <c r="H52" i="35" l="1"/>
  <c r="I52" i="35" s="1"/>
  <c r="J52" i="35"/>
  <c r="J49" i="35"/>
  <c r="J53" i="35" s="1"/>
  <c r="C8" i="50"/>
  <c r="H49" i="35"/>
  <c r="I49" i="35" s="1"/>
  <c r="E53" i="35"/>
  <c r="H53" i="35" s="1"/>
  <c r="I53" i="35" s="1"/>
  <c r="H92" i="35"/>
  <c r="H90" i="35"/>
  <c r="K9" i="50" s="1"/>
  <c r="F90" i="35"/>
  <c r="I9" i="50" s="1"/>
  <c r="F92" i="35"/>
  <c r="E92" i="35"/>
  <c r="E90" i="35"/>
  <c r="H9" i="50" s="1"/>
  <c r="G90" i="35"/>
  <c r="J9" i="50" s="1"/>
  <c r="G92" i="35"/>
  <c r="L9" i="50" l="1"/>
</calcChain>
</file>

<file path=xl/sharedStrings.xml><?xml version="1.0" encoding="utf-8"?>
<sst xmlns="http://schemas.openxmlformats.org/spreadsheetml/2006/main" count="888" uniqueCount="239">
  <si>
    <t>Staffing Levels</t>
  </si>
  <si>
    <t>Staff</t>
  </si>
  <si>
    <t>Brisbane</t>
  </si>
  <si>
    <t>Gold Coast</t>
  </si>
  <si>
    <t>Townsville</t>
  </si>
  <si>
    <t>Cairns</t>
  </si>
  <si>
    <t>Manager</t>
  </si>
  <si>
    <t>Admin staff</t>
  </si>
  <si>
    <t>Sales staff</t>
  </si>
  <si>
    <t>(including salary and all salary related overheads)</t>
  </si>
  <si>
    <t>Year</t>
  </si>
  <si>
    <t xml:space="preserve"> Total</t>
  </si>
  <si>
    <t>(no increase in 3 years)</t>
  </si>
  <si>
    <t>Advertising and promotional cost (APC)</t>
  </si>
  <si>
    <t>Item</t>
  </si>
  <si>
    <t>Washing Machines</t>
  </si>
  <si>
    <t>Fridges</t>
  </si>
  <si>
    <t>Microwaves</t>
  </si>
  <si>
    <t>TVs</t>
  </si>
  <si>
    <t>VUAOC Cost for locations</t>
  </si>
  <si>
    <t xml:space="preserve"> </t>
  </si>
  <si>
    <t>($ per average item in inventory per year)</t>
  </si>
  <si>
    <t>Assumption :  Total Cost = Total Labour Cost + FAOC + VUAOC + APC + COGS</t>
  </si>
  <si>
    <t>TOTAL</t>
  </si>
  <si>
    <t>Assumption : Revenue = Actual Sales * Av sales price($/item)</t>
  </si>
  <si>
    <t>Assumption :  Revenue = Actual Sales * Av sales price($/item)</t>
  </si>
  <si>
    <t>Total</t>
  </si>
  <si>
    <t>Location</t>
  </si>
  <si>
    <t>Actual</t>
  </si>
  <si>
    <t>Forecast</t>
  </si>
  <si>
    <t>10% Decrease</t>
  </si>
  <si>
    <t>10% Increase</t>
  </si>
  <si>
    <t>20% Increase</t>
  </si>
  <si>
    <t>% of Growth</t>
  </si>
  <si>
    <t>Less COGS</t>
  </si>
  <si>
    <t>Gross Margin</t>
  </si>
  <si>
    <t>Less Operating Cost</t>
  </si>
  <si>
    <t>FAOC</t>
  </si>
  <si>
    <t>APC</t>
  </si>
  <si>
    <t>VUAOC</t>
  </si>
  <si>
    <t>Operating Income(Profit)</t>
  </si>
  <si>
    <t>Revenue</t>
  </si>
  <si>
    <t>Projected Income Statement for Maroochydore</t>
  </si>
  <si>
    <t xml:space="preserve">Assumptions : 1.   The sales volumes and cost from the new outlet, Maroochydore </t>
  </si>
  <si>
    <t xml:space="preserve">                              are expected to be similar to the Gold Coast</t>
  </si>
  <si>
    <t>Income Statement - Maroochydore</t>
  </si>
  <si>
    <t>Scenario 2</t>
  </si>
  <si>
    <t>Forecast (Gold Coast)</t>
  </si>
  <si>
    <t>0% Growth</t>
  </si>
  <si>
    <t>EST_COST</t>
  </si>
  <si>
    <t>Group 1</t>
  </si>
  <si>
    <t>Group 2</t>
  </si>
  <si>
    <t>Group 3</t>
  </si>
  <si>
    <t>Group 4</t>
  </si>
  <si>
    <t>Group 5</t>
  </si>
  <si>
    <t>Group 6</t>
  </si>
  <si>
    <t>Group 7</t>
  </si>
  <si>
    <t>Group 8</t>
  </si>
  <si>
    <t>Group 9</t>
  </si>
  <si>
    <t>Group 10</t>
  </si>
  <si>
    <t>Group 11</t>
  </si>
  <si>
    <t>Group 12</t>
  </si>
  <si>
    <t>Group 13</t>
  </si>
  <si>
    <t>Group 14</t>
  </si>
  <si>
    <t>Group 15</t>
  </si>
  <si>
    <t>Group 16</t>
  </si>
  <si>
    <t>Group 17</t>
  </si>
  <si>
    <t>Group 18</t>
  </si>
  <si>
    <t>Group 19</t>
  </si>
  <si>
    <t>Group 20</t>
  </si>
  <si>
    <t>Group 21</t>
  </si>
  <si>
    <t>Group 22</t>
  </si>
  <si>
    <t>Group 23</t>
  </si>
  <si>
    <t>Group 24</t>
  </si>
  <si>
    <t>Group 25</t>
  </si>
  <si>
    <t>Labour Cost for Brisbane</t>
  </si>
  <si>
    <t>Labour Cost for Gold Coast</t>
  </si>
  <si>
    <t>Labour Cost for Townsville</t>
  </si>
  <si>
    <t>Labour Cost for Cairns</t>
  </si>
  <si>
    <t>Labour cost for staff pa/person ((including salary and all salary related overheads))</t>
  </si>
  <si>
    <t>Total Labour Cost by Location by Year</t>
  </si>
  <si>
    <t>Average Wholesale Cost</t>
  </si>
  <si>
    <t>Average wholesale cost ($/item)</t>
  </si>
  <si>
    <t>Assumption : COGS  = Actual Sales * Av wholesale cost($/item)</t>
  </si>
  <si>
    <t>Fixed Admin &amp; Operation Cost(FAOC) (no incrrease in 3 years)</t>
  </si>
  <si>
    <t>Total Operating Cost</t>
  </si>
  <si>
    <t>COGS</t>
  </si>
  <si>
    <t>Total Revenue</t>
  </si>
  <si>
    <t>Note: Click the Column Filter to see each YEAR</t>
  </si>
  <si>
    <t>Income Statement by Location</t>
  </si>
  <si>
    <t>Sensitivity Analysis using Two-Way Data Table</t>
  </si>
  <si>
    <t>6 staff</t>
  </si>
  <si>
    <t>Total VUAOC Costs by Location by Year</t>
  </si>
  <si>
    <t>Assumption :  Total Cost = Total Labour Cost + Total FAOC + Total VUAOC + Total APC + Total COGS</t>
  </si>
  <si>
    <t>Total Advertising and promotional costs (APC) by Location by Year</t>
  </si>
  <si>
    <t>Total Cost of Good Sold(COGS) by Location by Year</t>
  </si>
  <si>
    <t>Total Revenue by Location by Year</t>
  </si>
  <si>
    <t>Omega Pty Ltd</t>
  </si>
  <si>
    <t>The Black Box Model</t>
  </si>
  <si>
    <t>Scenario 1 (12 staff)</t>
  </si>
  <si>
    <t>Group 0</t>
  </si>
  <si>
    <t>For Model Answer</t>
  </si>
  <si>
    <t>Total Cost</t>
  </si>
  <si>
    <t>Computers and Tablets</t>
  </si>
  <si>
    <t>Mobile Phones</t>
  </si>
  <si>
    <t>Games and Consoles</t>
  </si>
  <si>
    <t>For Model Solution</t>
  </si>
  <si>
    <t>Average Sale Price ($/item)</t>
  </si>
  <si>
    <t>Average Sale Price($/item)</t>
  </si>
  <si>
    <t>Average Sale Price</t>
  </si>
  <si>
    <t>Labour cost for staff per person</t>
  </si>
  <si>
    <t>Fixed Admin &amp; Operation Cost (FAOC)</t>
  </si>
  <si>
    <t>Total Cost of Good Sold (COGS) by location by Year</t>
  </si>
  <si>
    <t>For Data Table Input</t>
  </si>
  <si>
    <t>Group 26</t>
  </si>
  <si>
    <t>Group 27</t>
  </si>
  <si>
    <t>Group 28</t>
  </si>
  <si>
    <t>Group 29</t>
  </si>
  <si>
    <t>Group 30</t>
  </si>
  <si>
    <t>Group 31</t>
  </si>
  <si>
    <t>Group 32</t>
  </si>
  <si>
    <t>Group 33</t>
  </si>
  <si>
    <t>Group 34</t>
  </si>
  <si>
    <t>Group 35</t>
  </si>
  <si>
    <t>Scenario 3</t>
  </si>
  <si>
    <t>Scenario 4</t>
  </si>
  <si>
    <t>6 staff (+5%)</t>
  </si>
  <si>
    <t>Group 36</t>
  </si>
  <si>
    <t>Group 37</t>
  </si>
  <si>
    <t>Group 38</t>
  </si>
  <si>
    <t>Group 39</t>
  </si>
  <si>
    <t>Group 40</t>
  </si>
  <si>
    <t>Group 41</t>
  </si>
  <si>
    <t>Group 42</t>
  </si>
  <si>
    <t>Group 43</t>
  </si>
  <si>
    <t>Group 44</t>
  </si>
  <si>
    <t>Group 45</t>
  </si>
  <si>
    <t>Group 46</t>
  </si>
  <si>
    <t>Group 47</t>
  </si>
  <si>
    <t>Group 48</t>
  </si>
  <si>
    <t>Group 49</t>
  </si>
  <si>
    <t>Group 50</t>
  </si>
  <si>
    <t>Group 51</t>
  </si>
  <si>
    <t>Group 52</t>
  </si>
  <si>
    <t>Group 53</t>
  </si>
  <si>
    <t>Group 54</t>
  </si>
  <si>
    <t>Group 55</t>
  </si>
  <si>
    <t>Group 56</t>
  </si>
  <si>
    <t>Group 57</t>
  </si>
  <si>
    <t>Group 58</t>
  </si>
  <si>
    <t>Group 59</t>
  </si>
  <si>
    <t>Group 60</t>
  </si>
  <si>
    <t>Student</t>
  </si>
  <si>
    <t>Use 3 year Figure</t>
  </si>
  <si>
    <t>YEAR</t>
  </si>
  <si>
    <t>LOCATION</t>
  </si>
  <si>
    <t>FIN TYPE</t>
  </si>
  <si>
    <t>AMOUNT</t>
  </si>
  <si>
    <t>Financial Year</t>
  </si>
  <si>
    <t>Average Inventories (units) For Financial Year Ending June</t>
  </si>
  <si>
    <t>Sales Target (unit) For Financial Year Ending June</t>
  </si>
  <si>
    <t>Actual Sales (unit) For Financial Year Ending June</t>
  </si>
  <si>
    <t>Average Inventories(units) For Financial Year Ending June</t>
  </si>
  <si>
    <t>COGS for</t>
  </si>
  <si>
    <t xml:space="preserve">COGS for </t>
  </si>
  <si>
    <t>Revenue  for</t>
  </si>
  <si>
    <t xml:space="preserve">Revenue  for </t>
  </si>
  <si>
    <t>LABOUR</t>
  </si>
  <si>
    <t>REVENUE</t>
  </si>
  <si>
    <t>Use Figure of Year:</t>
  </si>
  <si>
    <t>PRODUCT</t>
  </si>
  <si>
    <t>Note:</t>
  </si>
  <si>
    <t>This Financial Performance Data is constructed by combining the following Excel Spreadsheet</t>
  </si>
  <si>
    <t>1. Total Operating Cost</t>
  </si>
  <si>
    <t>2. Sales and Revenue</t>
  </si>
  <si>
    <t>The worksheet is PROCTECTED</t>
  </si>
  <si>
    <t>The worksheet has been formated as TABLE</t>
  </si>
  <si>
    <t xml:space="preserve">Note: </t>
  </si>
  <si>
    <t>USE THIS WORKSHEET TO BUILD YOUR PIVOT TABLE AND DASHBOARD</t>
  </si>
  <si>
    <t>Assumption :  Operating Income (loss) before Tax = Total Revenue - Total Cost</t>
  </si>
  <si>
    <t>KPI</t>
  </si>
  <si>
    <t>Gross Profit Margin</t>
  </si>
  <si>
    <t>Assumption :  Gross profit = Total Revenue - COGS</t>
  </si>
  <si>
    <t>Assumption :  Gross profit margin = (Gross profit / Total Revenue)*100</t>
  </si>
  <si>
    <t>Income Statement by Year</t>
  </si>
  <si>
    <t>SALES TARGET</t>
  </si>
  <si>
    <t>ACTUAL SALES</t>
  </si>
  <si>
    <t>SALES PERFORMANCE</t>
  </si>
  <si>
    <t>SALES REVENUE</t>
  </si>
  <si>
    <t>Assumption :  Product PROFITABILITY = SALES REVENUE - COGS</t>
  </si>
  <si>
    <t>PRODUCT PROFITABILITY</t>
  </si>
  <si>
    <t>This worksheet is reconstructed from the Sales &amp; Revenue and Sale Target &amp; Actual Sales worksheetss</t>
  </si>
  <si>
    <t>TARGET ANALYSIS</t>
  </si>
  <si>
    <t>Assumption :  TARGET ANALYSIS = ACTUAL SALES - SALES TARGET</t>
  </si>
  <si>
    <t>Assumption :  SALES PERFORMANCE = TARGET ANALYSIS / SALES TARGET</t>
  </si>
  <si>
    <t>6 staff (+10%)</t>
  </si>
  <si>
    <t>LABOUR COST</t>
  </si>
  <si>
    <t>For Financial KIP Dashboard</t>
  </si>
  <si>
    <t>Use the Income Statement to Design Your KPI</t>
  </si>
  <si>
    <t>For Financial Dashboard</t>
  </si>
  <si>
    <t>Gross Profit</t>
  </si>
  <si>
    <t>Net Profit (loss) before Tax</t>
  </si>
  <si>
    <t>Net Profit Margin</t>
  </si>
  <si>
    <t>Assumption :  Net Profit Margin = (Net Profit nefore tax / Total Revenue)*100</t>
  </si>
  <si>
    <t>Net Profit Contribution</t>
  </si>
  <si>
    <t>Assumption :  Net Profit Contribution = Profit of Location / (Total Net Profit)</t>
  </si>
  <si>
    <t>Transfer Your KPI onto the Financial KPI Dashboard Worksheet - Then Add Navigation / Slicers</t>
  </si>
  <si>
    <t>Complete the Income Statement using the information from the pivot table</t>
  </si>
  <si>
    <t>Create your PIVOT TABLE using the table in the Financial Performance Worksheet</t>
  </si>
  <si>
    <t>Design the PIVOT TABLE to match the Income Statement by Year format</t>
  </si>
  <si>
    <t>Insert Your Pivot Table at B16</t>
  </si>
  <si>
    <t>Copy the PIVOT Table you have created and insert it at B60</t>
  </si>
  <si>
    <t>RedeSign the PIVOT TABLE by Exchange the LOCATION AND YEAR to match the INCOME STATEMENT FORMAT by LOCATION</t>
  </si>
  <si>
    <t xml:space="preserve">                         2.  There is an establishment cost of $1million but factor into annual loan payment over 5 years. </t>
  </si>
  <si>
    <t xml:space="preserve">                         3.  The Forecast Income Statement for Maroochydore is similar to the Gold Coast with additional annual loan payment</t>
  </si>
  <si>
    <t xml:space="preserve">Assumption:Labour Cost = Staffing Level * Labour Cost for staff pa/person
</t>
  </si>
  <si>
    <t xml:space="preserve">Assumption: VUAOC = VUAOC Cost for Location * Total  Av inventories for Location
</t>
  </si>
  <si>
    <t>TOTAL (average)</t>
  </si>
  <si>
    <t>USE THIS WORKSHEET TO BUILD YOUR PIVOT TABLE For INCOME STATEMENT</t>
  </si>
  <si>
    <t>Copy the PIVOT TABLE and INCOME STATEMENT BY LOCATION from the INCOME STATEMENT worksheet</t>
  </si>
  <si>
    <t>Paste it at B6</t>
  </si>
  <si>
    <t>Total Net Profit</t>
  </si>
  <si>
    <t>Total  Cost</t>
  </si>
  <si>
    <t>Group Number</t>
  </si>
  <si>
    <t>Then use the INCOME STAEMENT worksheet to construct the KPI for your Dashboard</t>
  </si>
  <si>
    <t>Column Labels</t>
  </si>
  <si>
    <t>Grand Total</t>
  </si>
  <si>
    <t>Row Labels</t>
  </si>
  <si>
    <t>(All)</t>
  </si>
  <si>
    <t>Sum of AMOUNT</t>
  </si>
  <si>
    <t>Net Profit Before Tax</t>
  </si>
  <si>
    <t>Staff -Maroochydore</t>
  </si>
  <si>
    <t>Scenario 1</t>
  </si>
  <si>
    <t>Navigation</t>
  </si>
  <si>
    <t>Profitability Overview by Region</t>
  </si>
  <si>
    <t>Sum of SALES TARGET</t>
  </si>
  <si>
    <t>Sum of ACTUAL SALES</t>
  </si>
  <si>
    <t>Sum of Over Target</t>
  </si>
  <si>
    <t>Sum of PRODUCT PROFITABILITY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</si>
</sst>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6" formatCode="&quot;$&quot;#,##0;[Red]\-&quot;$&quot;#,##0"/>
    <numFmt numFmtId="164" formatCode="_(* #,##0_);_(* \(#,##0\);_(* &quot;-&quot;_);_(@_)"/>
    <numFmt numFmtId="165" formatCode="_(&quot;$&quot;* #,##0.00_);_(&quot;$&quot;* \(#,##0.00\);_(&quot;$&quot;* &quot;-&quot;??_);_(@_)"/>
    <numFmt numFmtId="166" formatCode="_(* #,##0.00_);_(* \(#,##0.00\);_(* &quot;-&quot;??_);_(@_)"/>
    <numFmt numFmtId="167" formatCode="_(* #,##0_);_(* \(#,##0\);_(* &quot;-&quot;??_);_(@_)"/>
    <numFmt numFmtId="168" formatCode="&quot;$&quot;#,##0"/>
    <numFmt numFmtId="169" formatCode="0.0%"/>
    <numFmt numFmtId="170" formatCode="#,##0.0%;[Red]\-#,##0.0%"/>
    <numFmt numFmtId="171" formatCode="0.000000000000000000%"/>
    <numFmt numFmtId="172" formatCode="0.000%"/>
    <numFmt numFmtId="173" formatCode="#,##0_ ;[Red]\-#,##0\ "/>
    <numFmt numFmtId="174" formatCode="_(&quot;$&quot;* #,##0_);_(&quot;$&quot;* \(#,##0\);_(&quot;$&quot;* &quot;-&quot;??_);_(@_)"/>
  </numFmts>
  <fonts count="54" x14ac:knownFonts="1">
    <font>
      <sz val="10"/>
      <name val="Arial"/>
    </font>
    <font>
      <sz val="11"/>
      <color theme="1"/>
      <name val="Calibri"/>
      <family val="2"/>
      <scheme val="minor"/>
    </font>
    <font>
      <sz val="10"/>
      <name val="Arial"/>
      <family val="2"/>
    </font>
    <font>
      <sz val="12"/>
      <name val="Times New Roman"/>
      <family val="1"/>
    </font>
    <font>
      <sz val="14"/>
      <name val="Times New Roman"/>
      <family val="1"/>
    </font>
    <font>
      <b/>
      <sz val="14"/>
      <name val="Times New Roman"/>
      <family val="1"/>
    </font>
    <font>
      <b/>
      <sz val="14"/>
      <color indexed="8"/>
      <name val="Times New Roman"/>
      <family val="1"/>
    </font>
    <font>
      <b/>
      <sz val="12"/>
      <color indexed="8"/>
      <name val="Times New Roman"/>
      <family val="1"/>
    </font>
    <font>
      <sz val="10"/>
      <name val="Times New Roman"/>
      <family val="1"/>
    </font>
    <font>
      <sz val="12"/>
      <color indexed="8"/>
      <name val="Times New Roman"/>
      <family val="1"/>
    </font>
    <font>
      <b/>
      <sz val="14"/>
      <name val="Times New Roman"/>
      <family val="1"/>
    </font>
    <font>
      <b/>
      <i/>
      <sz val="12"/>
      <color indexed="8"/>
      <name val="Times New Roman"/>
      <family val="1"/>
    </font>
    <font>
      <b/>
      <sz val="12"/>
      <name val="Times New Roman"/>
      <family val="1"/>
    </font>
    <font>
      <sz val="8"/>
      <name val="Arial"/>
      <family val="2"/>
    </font>
    <font>
      <b/>
      <sz val="14"/>
      <name val="Arial"/>
      <family val="2"/>
    </font>
    <font>
      <sz val="14"/>
      <name val="Arial"/>
      <family val="2"/>
    </font>
    <font>
      <b/>
      <i/>
      <sz val="12"/>
      <name val="Times New Roman"/>
      <family val="1"/>
    </font>
    <font>
      <i/>
      <sz val="12"/>
      <name val="Times New Roman"/>
      <family val="1"/>
    </font>
    <font>
      <b/>
      <sz val="16"/>
      <color rgb="FFFF0000"/>
      <name val="Arial"/>
      <family val="2"/>
    </font>
    <font>
      <sz val="10"/>
      <name val="Arial"/>
      <family val="2"/>
    </font>
    <font>
      <b/>
      <i/>
      <sz val="12"/>
      <color rgb="FFFF0066"/>
      <name val="Times New Roman"/>
      <family val="1"/>
    </font>
    <font>
      <sz val="12"/>
      <color rgb="FFFF0066"/>
      <name val="Times New Roman"/>
      <family val="1"/>
    </font>
    <font>
      <b/>
      <sz val="10"/>
      <color rgb="FFFF0066"/>
      <name val="Arial"/>
      <family val="2"/>
    </font>
    <font>
      <b/>
      <sz val="14"/>
      <color rgb="FFFF0066"/>
      <name val="Arial"/>
      <family val="2"/>
    </font>
    <font>
      <b/>
      <sz val="16"/>
      <name val="Calibri"/>
      <family val="2"/>
    </font>
    <font>
      <b/>
      <sz val="18"/>
      <name val="Calibri"/>
      <family val="2"/>
    </font>
    <font>
      <b/>
      <sz val="10"/>
      <name val="Times New Roman"/>
      <family val="1"/>
    </font>
    <font>
      <b/>
      <i/>
      <sz val="10"/>
      <color indexed="8"/>
      <name val="Times New Roman"/>
      <family val="1"/>
    </font>
    <font>
      <b/>
      <sz val="10"/>
      <color indexed="8"/>
      <name val="Times New Roman"/>
      <family val="1"/>
    </font>
    <font>
      <sz val="10"/>
      <color indexed="8"/>
      <name val="Times New Roman"/>
      <family val="1"/>
    </font>
    <font>
      <b/>
      <sz val="10"/>
      <name val="Arial"/>
      <family val="2"/>
    </font>
    <font>
      <sz val="12"/>
      <name val="Arial"/>
      <family val="2"/>
    </font>
    <font>
      <sz val="12"/>
      <name val="Calibri"/>
      <family val="2"/>
    </font>
    <font>
      <b/>
      <sz val="14"/>
      <color rgb="FFFF0000"/>
      <name val="Arial"/>
      <family val="2"/>
    </font>
    <font>
      <b/>
      <sz val="10"/>
      <color rgb="FFFF0000"/>
      <name val="Arial"/>
      <family val="2"/>
    </font>
    <font>
      <b/>
      <sz val="12"/>
      <color rgb="FFFF0000"/>
      <name val="Times New Roman"/>
      <family val="1"/>
    </font>
    <font>
      <b/>
      <sz val="12"/>
      <name val="Arial"/>
      <family val="2"/>
    </font>
    <font>
      <b/>
      <sz val="10"/>
      <name val="Arial"/>
      <family val="2"/>
    </font>
    <font>
      <b/>
      <sz val="12"/>
      <color rgb="FFFF0000"/>
      <name val="Arial"/>
      <family val="2"/>
    </font>
    <font>
      <b/>
      <sz val="10"/>
      <color rgb="FF0033CC"/>
      <name val="Arial"/>
      <family val="2"/>
    </font>
    <font>
      <sz val="12"/>
      <color rgb="FFFF0000"/>
      <name val="Arial"/>
      <family val="2"/>
    </font>
    <font>
      <b/>
      <sz val="10"/>
      <color rgb="FFFF0000"/>
      <name val="Times New Roman"/>
      <family val="1"/>
    </font>
    <font>
      <sz val="12"/>
      <color rgb="FFFF0000"/>
      <name val="Times New Roman"/>
      <family val="1"/>
    </font>
    <font>
      <b/>
      <i/>
      <sz val="12"/>
      <color rgb="FFFF0000"/>
      <name val="Times New Roman"/>
      <family val="1"/>
    </font>
    <font>
      <sz val="10"/>
      <name val="Calibri"/>
      <family val="2"/>
    </font>
    <font>
      <sz val="10"/>
      <color rgb="FFFF0000"/>
      <name val="Times New Roman"/>
      <family val="1"/>
    </font>
    <font>
      <b/>
      <i/>
      <sz val="10"/>
      <name val="Times New Roman"/>
      <family val="1"/>
    </font>
    <font>
      <b/>
      <sz val="10"/>
      <color theme="8" tint="-0.499984740745262"/>
      <name val="Arial"/>
      <family val="2"/>
    </font>
    <font>
      <b/>
      <sz val="10"/>
      <color rgb="FFC00000"/>
      <name val="Arial"/>
      <family val="2"/>
    </font>
    <font>
      <b/>
      <i/>
      <sz val="10"/>
      <color rgb="FFFF0000"/>
      <name val="Times New Roman"/>
      <family val="1"/>
    </font>
    <font>
      <sz val="11"/>
      <color theme="0"/>
      <name val="Calibri"/>
      <family val="2"/>
      <scheme val="minor"/>
    </font>
    <font>
      <b/>
      <sz val="11"/>
      <color rgb="FF002060"/>
      <name val="Calibri"/>
      <family val="2"/>
    </font>
    <font>
      <sz val="18"/>
      <name val="Times New Roman"/>
      <family val="1"/>
    </font>
    <font>
      <sz val="11"/>
      <name val="Calibri"/>
      <family val="2"/>
    </font>
  </fonts>
  <fills count="23">
    <fill>
      <patternFill patternType="none"/>
    </fill>
    <fill>
      <patternFill patternType="gray125"/>
    </fill>
    <fill>
      <patternFill patternType="solid">
        <fgColor indexed="9"/>
        <bgColor indexed="24"/>
      </patternFill>
    </fill>
    <fill>
      <patternFill patternType="solid">
        <fgColor indexed="22"/>
        <bgColor indexed="24"/>
      </patternFill>
    </fill>
    <fill>
      <patternFill patternType="solid">
        <fgColor indexed="22"/>
        <bgColor indexed="64"/>
      </patternFill>
    </fill>
    <fill>
      <patternFill patternType="solid">
        <fgColor indexed="9"/>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rgb="FFFFFF00"/>
        <bgColor indexed="64"/>
      </patternFill>
    </fill>
    <fill>
      <patternFill patternType="solid">
        <fgColor theme="3" tint="0.39997558519241921"/>
        <bgColor indexed="64"/>
      </patternFill>
    </fill>
    <fill>
      <patternFill patternType="solid">
        <fgColor theme="9"/>
      </patternFill>
    </fill>
    <fill>
      <patternFill patternType="solid">
        <fgColor theme="9" tint="0.79998168889431442"/>
        <bgColor indexed="65"/>
      </patternFill>
    </fill>
    <fill>
      <patternFill patternType="solid">
        <fgColor theme="9" tint="0.39997558519241921"/>
        <bgColor indexed="65"/>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9" tint="0.39997558519241921"/>
        <bgColor indexed="64"/>
      </patternFill>
    </fill>
    <fill>
      <patternFill patternType="solid">
        <fgColor theme="9" tint="0.79998168889431442"/>
        <bgColor indexed="64"/>
      </patternFill>
    </fill>
  </fills>
  <borders count="66">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style="double">
        <color indexed="64"/>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style="double">
        <color indexed="64"/>
      </bottom>
      <diagonal/>
    </border>
    <border>
      <left/>
      <right/>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style="thin">
        <color indexed="64"/>
      </top>
      <bottom style="double">
        <color indexed="64"/>
      </bottom>
      <diagonal/>
    </border>
    <border>
      <left/>
      <right style="thin">
        <color indexed="64"/>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double">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double">
        <color indexed="64"/>
      </left>
      <right/>
      <top style="thin">
        <color indexed="64"/>
      </top>
      <bottom style="thin">
        <color indexed="64"/>
      </bottom>
      <diagonal/>
    </border>
    <border>
      <left style="double">
        <color indexed="64"/>
      </left>
      <right/>
      <top style="thin">
        <color indexed="64"/>
      </top>
      <bottom style="double">
        <color indexed="64"/>
      </bottom>
      <diagonal/>
    </border>
    <border>
      <left style="medium">
        <color indexed="64"/>
      </left>
      <right style="medium">
        <color indexed="64"/>
      </right>
      <top style="thin">
        <color indexed="64"/>
      </top>
      <bottom style="double">
        <color indexed="64"/>
      </bottom>
      <diagonal/>
    </border>
    <border>
      <left style="double">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thin">
        <color indexed="64"/>
      </left>
      <right style="thin">
        <color indexed="64"/>
      </right>
      <top style="double">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double">
        <color indexed="64"/>
      </top>
      <bottom style="thin">
        <color indexed="64"/>
      </bottom>
      <diagonal/>
    </border>
    <border>
      <left style="thin">
        <color indexed="64"/>
      </left>
      <right style="medium">
        <color indexed="64"/>
      </right>
      <top style="double">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top/>
      <bottom style="medium">
        <color indexed="64"/>
      </bottom>
      <diagonal/>
    </border>
    <border>
      <left style="thin">
        <color indexed="64"/>
      </left>
      <right/>
      <top/>
      <bottom/>
      <diagonal/>
    </border>
  </borders>
  <cellStyleXfs count="7">
    <xf numFmtId="0" fontId="0" fillId="0" borderId="0"/>
    <xf numFmtId="166" fontId="2" fillId="0" borderId="0" applyFont="0" applyFill="0" applyBorder="0" applyAlignment="0" applyProtection="0"/>
    <xf numFmtId="165" fontId="2" fillId="0" borderId="0" applyFont="0" applyFill="0" applyBorder="0" applyAlignment="0" applyProtection="0"/>
    <xf numFmtId="9" fontId="19" fillId="0" borderId="0" applyFont="0" applyFill="0" applyBorder="0" applyAlignment="0" applyProtection="0"/>
    <xf numFmtId="0" fontId="50"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cellStyleXfs>
  <cellXfs count="364">
    <xf numFmtId="0" fontId="0" fillId="0" borderId="0" xfId="0"/>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10" fillId="0" borderId="0" xfId="0" applyFont="1"/>
    <xf numFmtId="0" fontId="9" fillId="2" borderId="1" xfId="0" applyFont="1" applyFill="1" applyBorder="1"/>
    <xf numFmtId="0" fontId="11" fillId="3" borderId="5" xfId="0" applyFont="1" applyFill="1" applyBorder="1" applyAlignment="1">
      <alignment horizontal="center"/>
    </xf>
    <xf numFmtId="0" fontId="11" fillId="3" borderId="6" xfId="0" applyFont="1" applyFill="1" applyBorder="1" applyAlignment="1">
      <alignment horizontal="center"/>
    </xf>
    <xf numFmtId="0" fontId="11" fillId="3" borderId="7" xfId="0" applyFont="1" applyFill="1" applyBorder="1" applyAlignment="1">
      <alignment horizontal="center"/>
    </xf>
    <xf numFmtId="0" fontId="7" fillId="3" borderId="8" xfId="0" applyFont="1" applyFill="1" applyBorder="1"/>
    <xf numFmtId="0" fontId="7" fillId="3" borderId="9" xfId="0" applyFont="1" applyFill="1" applyBorder="1"/>
    <xf numFmtId="167" fontId="9" fillId="5" borderId="3" xfId="1" applyNumberFormat="1" applyFont="1" applyFill="1" applyBorder="1"/>
    <xf numFmtId="0" fontId="11" fillId="4" borderId="5" xfId="0" applyFont="1" applyFill="1" applyBorder="1"/>
    <xf numFmtId="0" fontId="7" fillId="4" borderId="9" xfId="0" applyFont="1" applyFill="1" applyBorder="1"/>
    <xf numFmtId="164" fontId="9" fillId="2" borderId="1" xfId="0" applyNumberFormat="1" applyFont="1" applyFill="1" applyBorder="1"/>
    <xf numFmtId="164" fontId="9" fillId="2" borderId="2" xfId="0" applyNumberFormat="1" applyFont="1" applyFill="1" applyBorder="1"/>
    <xf numFmtId="164" fontId="9" fillId="2" borderId="3" xfId="0" applyNumberFormat="1" applyFont="1" applyFill="1" applyBorder="1"/>
    <xf numFmtId="164" fontId="9" fillId="2" borderId="4" xfId="0" applyNumberFormat="1" applyFont="1" applyFill="1" applyBorder="1"/>
    <xf numFmtId="0" fontId="12" fillId="0" borderId="0" xfId="0" applyFont="1"/>
    <xf numFmtId="0" fontId="3" fillId="0" borderId="10" xfId="0" applyFont="1" applyBorder="1"/>
    <xf numFmtId="0" fontId="3" fillId="0" borderId="11" xfId="0" applyFont="1" applyBorder="1"/>
    <xf numFmtId="0" fontId="3" fillId="0" borderId="12" xfId="0" applyFont="1" applyBorder="1"/>
    <xf numFmtId="0" fontId="3" fillId="0" borderId="14" xfId="0" applyFont="1" applyBorder="1"/>
    <xf numFmtId="0" fontId="3" fillId="0" borderId="15" xfId="0" applyFont="1" applyBorder="1"/>
    <xf numFmtId="0" fontId="3" fillId="0" borderId="17" xfId="0" applyFont="1" applyBorder="1"/>
    <xf numFmtId="0" fontId="3" fillId="0" borderId="19" xfId="0" applyFont="1" applyBorder="1"/>
    <xf numFmtId="0" fontId="3" fillId="0" borderId="20" xfId="0" applyFont="1" applyBorder="1"/>
    <xf numFmtId="38" fontId="0" fillId="0" borderId="0" xfId="0" applyNumberFormat="1"/>
    <xf numFmtId="38" fontId="3" fillId="0" borderId="1" xfId="1" applyNumberFormat="1" applyFont="1" applyBorder="1"/>
    <xf numFmtId="38" fontId="3" fillId="0" borderId="1" xfId="0" applyNumberFormat="1" applyFont="1" applyBorder="1"/>
    <xf numFmtId="0" fontId="15" fillId="0" borderId="0" xfId="0" applyFont="1"/>
    <xf numFmtId="0" fontId="8" fillId="0" borderId="0" xfId="0" applyFont="1" applyAlignment="1">
      <alignment horizontal="centerContinuous"/>
    </xf>
    <xf numFmtId="0" fontId="2" fillId="0" borderId="0" xfId="0" applyFont="1"/>
    <xf numFmtId="0" fontId="2" fillId="0" borderId="0" xfId="0" quotePrefix="1" applyFont="1" applyAlignment="1">
      <alignment horizontal="center"/>
    </xf>
    <xf numFmtId="0" fontId="0" fillId="0" borderId="0" xfId="0" applyAlignment="1">
      <alignment horizontal="left"/>
    </xf>
    <xf numFmtId="168" fontId="0" fillId="0" borderId="0" xfId="0" applyNumberFormat="1"/>
    <xf numFmtId="0" fontId="12" fillId="0" borderId="10" xfId="0" applyFont="1" applyBorder="1"/>
    <xf numFmtId="0" fontId="16" fillId="0" borderId="10" xfId="0" applyFont="1" applyBorder="1"/>
    <xf numFmtId="0" fontId="12" fillId="0" borderId="13" xfId="0" applyFont="1" applyBorder="1"/>
    <xf numFmtId="0" fontId="17" fillId="0" borderId="20" xfId="0" applyFont="1" applyBorder="1"/>
    <xf numFmtId="0" fontId="17" fillId="0" borderId="0" xfId="0" applyFont="1"/>
    <xf numFmtId="0" fontId="20" fillId="0" borderId="11" xfId="0" applyFont="1" applyBorder="1"/>
    <xf numFmtId="0" fontId="22" fillId="0" borderId="0" xfId="0" applyFont="1"/>
    <xf numFmtId="168" fontId="22" fillId="0" borderId="0" xfId="0" applyNumberFormat="1" applyFont="1"/>
    <xf numFmtId="0" fontId="3" fillId="0" borderId="1" xfId="0" applyFont="1" applyBorder="1"/>
    <xf numFmtId="0" fontId="17" fillId="0" borderId="1" xfId="0" applyFont="1" applyBorder="1"/>
    <xf numFmtId="0" fontId="23" fillId="0" borderId="0" xfId="0" applyFont="1"/>
    <xf numFmtId="0" fontId="5" fillId="0" borderId="42" xfId="0" applyFont="1" applyBorder="1" applyAlignment="1">
      <alignment vertical="center"/>
    </xf>
    <xf numFmtId="0" fontId="3" fillId="6" borderId="1" xfId="1" applyNumberFormat="1" applyFont="1" applyFill="1" applyBorder="1" applyAlignment="1">
      <alignment horizontal="center"/>
    </xf>
    <xf numFmtId="38" fontId="3" fillId="7" borderId="8" xfId="1" applyNumberFormat="1" applyFont="1" applyFill="1" applyBorder="1"/>
    <xf numFmtId="38" fontId="3" fillId="7" borderId="27" xfId="1" applyNumberFormat="1" applyFont="1" applyFill="1" applyBorder="1"/>
    <xf numFmtId="0" fontId="3" fillId="10" borderId="24" xfId="0" applyFont="1" applyFill="1" applyBorder="1" applyAlignment="1">
      <alignment horizontal="center"/>
    </xf>
    <xf numFmtId="0" fontId="3" fillId="10" borderId="6" xfId="0" applyFont="1" applyFill="1" applyBorder="1" applyAlignment="1">
      <alignment horizontal="center"/>
    </xf>
    <xf numFmtId="0" fontId="3" fillId="10" borderId="7" xfId="0" applyFont="1" applyFill="1" applyBorder="1" applyAlignment="1">
      <alignment horizontal="center"/>
    </xf>
    <xf numFmtId="38" fontId="3" fillId="9" borderId="1" xfId="1" applyNumberFormat="1" applyFont="1" applyFill="1" applyBorder="1"/>
    <xf numFmtId="38" fontId="3" fillId="9" borderId="1" xfId="0" applyNumberFormat="1" applyFont="1" applyFill="1" applyBorder="1"/>
    <xf numFmtId="38" fontId="3" fillId="9" borderId="25" xfId="0" applyNumberFormat="1" applyFont="1" applyFill="1" applyBorder="1"/>
    <xf numFmtId="38" fontId="3" fillId="8" borderId="1" xfId="1" applyNumberFormat="1" applyFont="1" applyFill="1" applyBorder="1"/>
    <xf numFmtId="38" fontId="3" fillId="8" borderId="2" xfId="1" applyNumberFormat="1" applyFont="1" applyFill="1" applyBorder="1"/>
    <xf numFmtId="38" fontId="3" fillId="8" borderId="21" xfId="1" applyNumberFormat="1" applyFont="1" applyFill="1" applyBorder="1"/>
    <xf numFmtId="38" fontId="3" fillId="8" borderId="1" xfId="0" applyNumberFormat="1" applyFont="1" applyFill="1" applyBorder="1"/>
    <xf numFmtId="38" fontId="3" fillId="8" borderId="6" xfId="1" applyNumberFormat="1" applyFont="1" applyFill="1" applyBorder="1"/>
    <xf numFmtId="169" fontId="21" fillId="8" borderId="25" xfId="3" applyNumberFormat="1" applyFont="1" applyFill="1" applyBorder="1"/>
    <xf numFmtId="9" fontId="0" fillId="0" borderId="0" xfId="3" applyFont="1" applyAlignment="1">
      <alignment horizontal="center"/>
    </xf>
    <xf numFmtId="0" fontId="25" fillId="0" borderId="0" xfId="0" applyFont="1" applyAlignment="1">
      <alignment vertical="center"/>
    </xf>
    <xf numFmtId="0" fontId="26" fillId="0" borderId="0" xfId="0" applyFont="1"/>
    <xf numFmtId="0" fontId="27" fillId="4" borderId="1" xfId="0" applyFont="1" applyFill="1" applyBorder="1"/>
    <xf numFmtId="0" fontId="27" fillId="3" borderId="1" xfId="0" applyFont="1" applyFill="1" applyBorder="1" applyAlignment="1">
      <alignment horizontal="center"/>
    </xf>
    <xf numFmtId="0" fontId="27" fillId="4" borderId="33" xfId="0" applyFont="1" applyFill="1" applyBorder="1"/>
    <xf numFmtId="0" fontId="27" fillId="4" borderId="33" xfId="0" applyFont="1" applyFill="1" applyBorder="1" applyAlignment="1">
      <alignment horizontal="center"/>
    </xf>
    <xf numFmtId="0" fontId="28" fillId="4" borderId="1" xfId="0" applyFont="1" applyFill="1" applyBorder="1"/>
    <xf numFmtId="167" fontId="29" fillId="5" borderId="1" xfId="1" applyNumberFormat="1" applyFont="1" applyFill="1" applyBorder="1"/>
    <xf numFmtId="0" fontId="28" fillId="4" borderId="33" xfId="0" applyFont="1" applyFill="1" applyBorder="1"/>
    <xf numFmtId="164" fontId="29" fillId="5" borderId="1" xfId="2" applyNumberFormat="1" applyFont="1" applyFill="1" applyBorder="1" applyAlignment="1">
      <alignment horizontal="left"/>
    </xf>
    <xf numFmtId="167" fontId="28" fillId="5" borderId="1" xfId="1" applyNumberFormat="1" applyFont="1" applyFill="1" applyBorder="1"/>
    <xf numFmtId="0" fontId="27" fillId="3" borderId="5" xfId="0" applyFont="1" applyFill="1" applyBorder="1" applyAlignment="1">
      <alignment horizontal="center"/>
    </xf>
    <xf numFmtId="0" fontId="27" fillId="3" borderId="6" xfId="0" applyFont="1" applyFill="1" applyBorder="1" applyAlignment="1">
      <alignment horizontal="center"/>
    </xf>
    <xf numFmtId="0" fontId="27" fillId="3" borderId="7" xfId="0" applyFont="1" applyFill="1" applyBorder="1" applyAlignment="1">
      <alignment horizontal="center"/>
    </xf>
    <xf numFmtId="0" fontId="27" fillId="3" borderId="30" xfId="0" applyFont="1" applyFill="1" applyBorder="1" applyAlignment="1">
      <alignment horizontal="center"/>
    </xf>
    <xf numFmtId="164" fontId="29" fillId="2" borderId="1" xfId="0" applyNumberFormat="1" applyFont="1" applyFill="1" applyBorder="1"/>
    <xf numFmtId="164" fontId="29" fillId="2" borderId="31" xfId="0" applyNumberFormat="1" applyFont="1" applyFill="1" applyBorder="1"/>
    <xf numFmtId="164" fontId="29" fillId="2" borderId="32" xfId="0" applyNumberFormat="1" applyFont="1" applyFill="1" applyBorder="1"/>
    <xf numFmtId="0" fontId="28" fillId="4" borderId="1" xfId="0" applyFont="1" applyFill="1" applyBorder="1" applyAlignment="1">
      <alignment horizontal="center"/>
    </xf>
    <xf numFmtId="0" fontId="31" fillId="0" borderId="0" xfId="0" applyFont="1"/>
    <xf numFmtId="3" fontId="32" fillId="0" borderId="47" xfId="0" applyNumberFormat="1" applyFont="1" applyBorder="1" applyAlignment="1">
      <alignment horizontal="center" vertical="center"/>
    </xf>
    <xf numFmtId="3" fontId="32" fillId="0" borderId="48" xfId="0" applyNumberFormat="1" applyFont="1" applyBorder="1" applyAlignment="1">
      <alignment horizontal="center" vertical="center"/>
    </xf>
    <xf numFmtId="3" fontId="32" fillId="0" borderId="49" xfId="0" applyNumberFormat="1" applyFont="1" applyBorder="1" applyAlignment="1">
      <alignment horizontal="center" vertical="center"/>
    </xf>
    <xf numFmtId="3" fontId="32" fillId="0" borderId="50" xfId="0" applyNumberFormat="1" applyFont="1" applyBorder="1" applyAlignment="1">
      <alignment horizontal="center" vertical="center"/>
    </xf>
    <xf numFmtId="0" fontId="30" fillId="0" borderId="0" xfId="0" applyFont="1"/>
    <xf numFmtId="0" fontId="0" fillId="0" borderId="52" xfId="0" applyBorder="1"/>
    <xf numFmtId="0" fontId="30" fillId="0" borderId="51" xfId="0" applyFont="1" applyBorder="1"/>
    <xf numFmtId="0" fontId="34" fillId="0" borderId="52" xfId="0" applyFont="1" applyBorder="1" applyAlignment="1">
      <alignment horizontal="center"/>
    </xf>
    <xf numFmtId="0" fontId="34" fillId="0" borderId="40" xfId="0" applyFont="1" applyBorder="1" applyAlignment="1">
      <alignment horizontal="center"/>
    </xf>
    <xf numFmtId="0" fontId="28" fillId="3" borderId="8" xfId="0" applyFont="1" applyFill="1" applyBorder="1" applyAlignment="1">
      <alignment horizontal="center" vertical="center"/>
    </xf>
    <xf numFmtId="0" fontId="28" fillId="3" borderId="9" xfId="0" applyFont="1" applyFill="1" applyBorder="1" applyAlignment="1">
      <alignment horizontal="center" vertical="center"/>
    </xf>
    <xf numFmtId="0" fontId="35" fillId="0" borderId="0" xfId="0" applyFont="1"/>
    <xf numFmtId="164" fontId="29" fillId="5" borderId="1" xfId="2" applyNumberFormat="1" applyFont="1" applyFill="1" applyBorder="1" applyAlignment="1">
      <alignment vertical="center"/>
    </xf>
    <xf numFmtId="0" fontId="34" fillId="0" borderId="0" xfId="0" applyFont="1"/>
    <xf numFmtId="0" fontId="36" fillId="0" borderId="0" xfId="0" applyFont="1"/>
    <xf numFmtId="0" fontId="3" fillId="4" borderId="1" xfId="1" applyNumberFormat="1" applyFont="1" applyFill="1" applyBorder="1" applyAlignment="1">
      <alignment horizontal="center"/>
    </xf>
    <xf numFmtId="0" fontId="20" fillId="0" borderId="15" xfId="0" applyFont="1" applyBorder="1"/>
    <xf numFmtId="169" fontId="3" fillId="8" borderId="17" xfId="3" applyNumberFormat="1" applyFont="1" applyFill="1" applyBorder="1"/>
    <xf numFmtId="38" fontId="3" fillId="9" borderId="17" xfId="0" applyNumberFormat="1" applyFont="1" applyFill="1" applyBorder="1"/>
    <xf numFmtId="38" fontId="3" fillId="9" borderId="18" xfId="0" applyNumberFormat="1" applyFont="1" applyFill="1" applyBorder="1"/>
    <xf numFmtId="0" fontId="16" fillId="0" borderId="11" xfId="0" applyFont="1" applyBorder="1"/>
    <xf numFmtId="38" fontId="3" fillId="8" borderId="5" xfId="1" applyNumberFormat="1" applyFont="1" applyFill="1" applyBorder="1"/>
    <xf numFmtId="169" fontId="21" fillId="8" borderId="27" xfId="3" applyNumberFormat="1" applyFont="1" applyFill="1" applyBorder="1"/>
    <xf numFmtId="169" fontId="3" fillId="8" borderId="15" xfId="3" applyNumberFormat="1" applyFont="1" applyFill="1" applyBorder="1"/>
    <xf numFmtId="38" fontId="3" fillId="7" borderId="15" xfId="1" applyNumberFormat="1" applyFont="1" applyFill="1" applyBorder="1"/>
    <xf numFmtId="38" fontId="3" fillId="9" borderId="15" xfId="0" applyNumberFormat="1" applyFont="1" applyFill="1" applyBorder="1"/>
    <xf numFmtId="0" fontId="3" fillId="0" borderId="21" xfId="0" applyFont="1" applyBorder="1"/>
    <xf numFmtId="0" fontId="17" fillId="0" borderId="21" xfId="0" applyFont="1" applyBorder="1"/>
    <xf numFmtId="38" fontId="3" fillId="0" borderId="21" xfId="1" applyNumberFormat="1" applyFont="1" applyBorder="1"/>
    <xf numFmtId="0" fontId="3" fillId="0" borderId="54" xfId="0" applyFont="1" applyBorder="1"/>
    <xf numFmtId="38" fontId="3" fillId="0" borderId="54" xfId="1" applyNumberFormat="1" applyFont="1" applyBorder="1"/>
    <xf numFmtId="0" fontId="5" fillId="0" borderId="55" xfId="0" applyFont="1" applyBorder="1" applyAlignment="1">
      <alignment vertical="center"/>
    </xf>
    <xf numFmtId="0" fontId="3" fillId="0" borderId="8" xfId="0" applyFont="1" applyBorder="1"/>
    <xf numFmtId="0" fontId="3" fillId="4" borderId="2" xfId="1" applyNumberFormat="1" applyFont="1" applyFill="1" applyBorder="1" applyAlignment="1">
      <alignment horizontal="center"/>
    </xf>
    <xf numFmtId="0" fontId="12" fillId="0" borderId="8" xfId="0" applyFont="1" applyBorder="1"/>
    <xf numFmtId="38" fontId="3" fillId="0" borderId="2" xfId="1" applyNumberFormat="1" applyFont="1" applyBorder="1"/>
    <xf numFmtId="0" fontId="3" fillId="0" borderId="23" xfId="0" applyFont="1" applyBorder="1"/>
    <xf numFmtId="38" fontId="3" fillId="0" borderId="22" xfId="1" applyNumberFormat="1" applyFont="1" applyBorder="1"/>
    <xf numFmtId="0" fontId="12" fillId="0" borderId="59" xfId="0" applyFont="1" applyBorder="1"/>
    <xf numFmtId="38" fontId="3" fillId="0" borderId="60" xfId="1" applyNumberFormat="1" applyFont="1" applyBorder="1"/>
    <xf numFmtId="0" fontId="3" fillId="0" borderId="3" xfId="0" applyFont="1" applyBorder="1"/>
    <xf numFmtId="38" fontId="3" fillId="0" borderId="3" xfId="1" applyNumberFormat="1" applyFont="1" applyBorder="1"/>
    <xf numFmtId="38" fontId="3" fillId="0" borderId="4" xfId="1" applyNumberFormat="1" applyFont="1" applyBorder="1"/>
    <xf numFmtId="169" fontId="3" fillId="8" borderId="61" xfId="3" applyNumberFormat="1" applyFont="1" applyFill="1" applyBorder="1"/>
    <xf numFmtId="170" fontId="3" fillId="8" borderId="52" xfId="3" applyNumberFormat="1" applyFont="1" applyFill="1" applyBorder="1" applyAlignment="1">
      <alignment horizontal="center"/>
    </xf>
    <xf numFmtId="170" fontId="3" fillId="8" borderId="52" xfId="3" applyNumberFormat="1" applyFont="1" applyFill="1" applyBorder="1" applyAlignment="1">
      <alignment horizontal="center" vertical="center"/>
    </xf>
    <xf numFmtId="170" fontId="3" fillId="8" borderId="40" xfId="3" applyNumberFormat="1" applyFont="1" applyFill="1" applyBorder="1" applyAlignment="1">
      <alignment horizontal="center" vertical="center"/>
    </xf>
    <xf numFmtId="170" fontId="3" fillId="8" borderId="10" xfId="3" applyNumberFormat="1" applyFont="1" applyFill="1" applyBorder="1" applyAlignment="1">
      <alignment horizontal="center" vertical="center"/>
    </xf>
    <xf numFmtId="170" fontId="3" fillId="8" borderId="0" xfId="3" applyNumberFormat="1" applyFont="1" applyFill="1" applyBorder="1" applyAlignment="1">
      <alignment horizontal="center" vertical="center"/>
    </xf>
    <xf numFmtId="170" fontId="3" fillId="9" borderId="10" xfId="3" applyNumberFormat="1" applyFont="1" applyFill="1" applyBorder="1" applyAlignment="1">
      <alignment horizontal="center" vertical="center"/>
    </xf>
    <xf numFmtId="170" fontId="3" fillId="9" borderId="0" xfId="3" applyNumberFormat="1" applyFont="1" applyFill="1" applyBorder="1" applyAlignment="1">
      <alignment horizontal="center" vertical="center"/>
    </xf>
    <xf numFmtId="170" fontId="3" fillId="9" borderId="53" xfId="3" applyNumberFormat="1" applyFont="1" applyFill="1" applyBorder="1" applyAlignment="1">
      <alignment horizontal="center" vertical="center"/>
    </xf>
    <xf numFmtId="170" fontId="3" fillId="8" borderId="11" xfId="3" applyNumberFormat="1" applyFont="1" applyFill="1" applyBorder="1" applyAlignment="1">
      <alignment horizontal="center" vertical="center"/>
    </xf>
    <xf numFmtId="170" fontId="3" fillId="8" borderId="12" xfId="3" applyNumberFormat="1" applyFont="1" applyFill="1" applyBorder="1" applyAlignment="1">
      <alignment horizontal="center" vertical="center"/>
    </xf>
    <xf numFmtId="170" fontId="3" fillId="9" borderId="11" xfId="3" applyNumberFormat="1" applyFont="1" applyFill="1" applyBorder="1" applyAlignment="1">
      <alignment horizontal="center" vertical="center"/>
    </xf>
    <xf numFmtId="170" fontId="3" fillId="9" borderId="12" xfId="3" applyNumberFormat="1" applyFont="1" applyFill="1" applyBorder="1" applyAlignment="1">
      <alignment horizontal="center" vertical="center"/>
    </xf>
    <xf numFmtId="170" fontId="3" fillId="9" borderId="29" xfId="3" applyNumberFormat="1" applyFont="1" applyFill="1" applyBorder="1" applyAlignment="1">
      <alignment horizontal="center" vertical="center"/>
    </xf>
    <xf numFmtId="171" fontId="0" fillId="0" borderId="0" xfId="0" applyNumberFormat="1"/>
    <xf numFmtId="172" fontId="0" fillId="0" borderId="0" xfId="0" applyNumberFormat="1"/>
    <xf numFmtId="10" fontId="3" fillId="7" borderId="18" xfId="3" applyNumberFormat="1" applyFont="1" applyFill="1" applyBorder="1"/>
    <xf numFmtId="10" fontId="3" fillId="7" borderId="53" xfId="3" applyNumberFormat="1" applyFont="1" applyFill="1" applyBorder="1"/>
    <xf numFmtId="10" fontId="3" fillId="7" borderId="29" xfId="3" applyNumberFormat="1" applyFont="1" applyFill="1" applyBorder="1"/>
    <xf numFmtId="169" fontId="3" fillId="7" borderId="10" xfId="3" applyNumberFormat="1" applyFont="1" applyFill="1" applyBorder="1"/>
    <xf numFmtId="169" fontId="3" fillId="7" borderId="11" xfId="3" applyNumberFormat="1" applyFont="1" applyFill="1" applyBorder="1"/>
    <xf numFmtId="0" fontId="37" fillId="0" borderId="0" xfId="0" applyFont="1"/>
    <xf numFmtId="170" fontId="0" fillId="0" borderId="0" xfId="3" applyNumberFormat="1" applyFont="1"/>
    <xf numFmtId="170" fontId="0" fillId="0" borderId="0" xfId="0" applyNumberFormat="1"/>
    <xf numFmtId="0" fontId="38" fillId="0" borderId="0" xfId="0" applyFont="1"/>
    <xf numFmtId="0" fontId="39" fillId="0" borderId="0" xfId="0" applyFont="1"/>
    <xf numFmtId="0" fontId="14" fillId="0" borderId="0" xfId="0" applyFont="1" applyAlignment="1">
      <alignment horizontal="center" vertical="center" textRotation="90"/>
    </xf>
    <xf numFmtId="0" fontId="40" fillId="0" borderId="0" xfId="0" applyFont="1"/>
    <xf numFmtId="38" fontId="34" fillId="0" borderId="0" xfId="0" applyNumberFormat="1" applyFont="1"/>
    <xf numFmtId="0" fontId="42" fillId="0" borderId="0" xfId="0" applyFont="1"/>
    <xf numFmtId="0" fontId="3" fillId="11" borderId="1" xfId="1" applyNumberFormat="1" applyFont="1" applyFill="1" applyBorder="1" applyAlignment="1">
      <alignment horizontal="center"/>
    </xf>
    <xf numFmtId="0" fontId="12" fillId="10" borderId="44" xfId="0" applyFont="1" applyFill="1" applyBorder="1" applyAlignment="1">
      <alignment horizontal="center"/>
    </xf>
    <xf numFmtId="0" fontId="12" fillId="10" borderId="34" xfId="0" applyFont="1" applyFill="1" applyBorder="1" applyAlignment="1">
      <alignment horizontal="center"/>
    </xf>
    <xf numFmtId="0" fontId="12" fillId="10" borderId="35" xfId="0" applyFont="1" applyFill="1" applyBorder="1" applyAlignment="1">
      <alignment horizontal="center"/>
    </xf>
    <xf numFmtId="0" fontId="33" fillId="0" borderId="43" xfId="0" applyFont="1" applyBorder="1" applyAlignment="1">
      <alignment horizontal="center" vertical="center"/>
    </xf>
    <xf numFmtId="0" fontId="43" fillId="3" borderId="6" xfId="0" applyFont="1" applyFill="1" applyBorder="1" applyAlignment="1">
      <alignment horizontal="center"/>
    </xf>
    <xf numFmtId="0" fontId="43" fillId="3" borderId="6" xfId="0" applyFont="1" applyFill="1" applyBorder="1" applyAlignment="1">
      <alignment horizontal="center" vertical="center"/>
    </xf>
    <xf numFmtId="0" fontId="43" fillId="3" borderId="7" xfId="0" applyFont="1" applyFill="1" applyBorder="1" applyAlignment="1">
      <alignment horizontal="center" vertical="center"/>
    </xf>
    <xf numFmtId="0" fontId="43" fillId="3" borderId="7" xfId="0" applyFont="1" applyFill="1" applyBorder="1" applyAlignment="1">
      <alignment horizontal="center"/>
    </xf>
    <xf numFmtId="0" fontId="35" fillId="3" borderId="8" xfId="0" applyFont="1" applyFill="1" applyBorder="1"/>
    <xf numFmtId="0" fontId="35" fillId="3" borderId="9" xfId="0" applyFont="1" applyFill="1" applyBorder="1"/>
    <xf numFmtId="0" fontId="41" fillId="3" borderId="8" xfId="0" applyFont="1" applyFill="1" applyBorder="1" applyAlignment="1">
      <alignment horizontal="center" vertical="center"/>
    </xf>
    <xf numFmtId="0" fontId="41" fillId="3" borderId="9" xfId="0" applyFont="1" applyFill="1" applyBorder="1" applyAlignment="1">
      <alignment horizontal="center" vertical="center"/>
    </xf>
    <xf numFmtId="0" fontId="41" fillId="4" borderId="1" xfId="0" applyFont="1" applyFill="1" applyBorder="1" applyAlignment="1">
      <alignment horizontal="center"/>
    </xf>
    <xf numFmtId="0" fontId="26" fillId="0" borderId="0" xfId="0" applyFont="1" applyAlignment="1">
      <alignment horizontal="center" vertical="center"/>
    </xf>
    <xf numFmtId="0" fontId="27" fillId="3" borderId="0" xfId="0" applyFont="1" applyFill="1" applyAlignment="1">
      <alignment horizontal="center"/>
    </xf>
    <xf numFmtId="0" fontId="28" fillId="4" borderId="9" xfId="0" applyFont="1" applyFill="1" applyBorder="1"/>
    <xf numFmtId="0" fontId="27" fillId="4" borderId="5" xfId="0" applyFont="1" applyFill="1" applyBorder="1"/>
    <xf numFmtId="3" fontId="44" fillId="0" borderId="47" xfId="0" applyNumberFormat="1" applyFont="1" applyBorder="1" applyAlignment="1">
      <alignment horizontal="center" vertical="center"/>
    </xf>
    <xf numFmtId="0" fontId="41" fillId="3" borderId="8" xfId="0" applyFont="1" applyFill="1" applyBorder="1" applyAlignment="1">
      <alignment horizontal="left" vertical="center"/>
    </xf>
    <xf numFmtId="164" fontId="29" fillId="2" borderId="2" xfId="0" applyNumberFormat="1" applyFont="1" applyFill="1" applyBorder="1"/>
    <xf numFmtId="0" fontId="41" fillId="3" borderId="9" xfId="0" applyFont="1" applyFill="1" applyBorder="1" applyAlignment="1">
      <alignment horizontal="left" vertical="center"/>
    </xf>
    <xf numFmtId="164" fontId="29" fillId="2" borderId="3" xfId="0" applyNumberFormat="1" applyFont="1" applyFill="1" applyBorder="1"/>
    <xf numFmtId="0" fontId="41" fillId="0" borderId="0" xfId="0" applyFont="1" applyAlignment="1">
      <alignment horizontal="left" vertical="top"/>
    </xf>
    <xf numFmtId="0" fontId="28" fillId="4" borderId="8" xfId="0" applyFont="1" applyFill="1" applyBorder="1"/>
    <xf numFmtId="0" fontId="29" fillId="5" borderId="1" xfId="0" applyFont="1" applyFill="1" applyBorder="1"/>
    <xf numFmtId="0" fontId="29" fillId="5" borderId="2" xfId="0" applyFont="1" applyFill="1" applyBorder="1"/>
    <xf numFmtId="0" fontId="29" fillId="4" borderId="3" xfId="0" applyFont="1" applyFill="1" applyBorder="1"/>
    <xf numFmtId="0" fontId="29" fillId="4" borderId="4" xfId="0" applyFont="1" applyFill="1" applyBorder="1"/>
    <xf numFmtId="0" fontId="28" fillId="0" borderId="0" xfId="0" applyFont="1"/>
    <xf numFmtId="0" fontId="28" fillId="3" borderId="8" xfId="0" applyFont="1" applyFill="1" applyBorder="1"/>
    <xf numFmtId="0" fontId="29" fillId="2" borderId="1" xfId="0" applyFont="1" applyFill="1" applyBorder="1"/>
    <xf numFmtId="0" fontId="29" fillId="2" borderId="2" xfId="0" applyFont="1" applyFill="1" applyBorder="1"/>
    <xf numFmtId="0" fontId="28" fillId="3" borderId="9" xfId="0" applyFont="1" applyFill="1" applyBorder="1"/>
    <xf numFmtId="0" fontId="29" fillId="2" borderId="3" xfId="0" applyFont="1" applyFill="1" applyBorder="1"/>
    <xf numFmtId="0" fontId="29" fillId="2" borderId="4" xfId="0" applyFont="1" applyFill="1" applyBorder="1"/>
    <xf numFmtId="0" fontId="29" fillId="0" borderId="0" xfId="0" applyFont="1"/>
    <xf numFmtId="164" fontId="29" fillId="2" borderId="4" xfId="0" applyNumberFormat="1" applyFont="1" applyFill="1" applyBorder="1"/>
    <xf numFmtId="167" fontId="29" fillId="5" borderId="3" xfId="1" applyNumberFormat="1" applyFont="1" applyFill="1" applyBorder="1"/>
    <xf numFmtId="167" fontId="29" fillId="5" borderId="4" xfId="1" applyNumberFormat="1" applyFont="1" applyFill="1" applyBorder="1"/>
    <xf numFmtId="0" fontId="8" fillId="0" borderId="0" xfId="0" applyFont="1" applyAlignment="1">
      <alignment horizontal="center" vertical="center"/>
    </xf>
    <xf numFmtId="0" fontId="26" fillId="0" borderId="55" xfId="0" applyFont="1" applyBorder="1" applyAlignment="1">
      <alignment vertical="center"/>
    </xf>
    <xf numFmtId="0" fontId="8" fillId="0" borderId="8" xfId="0" applyFont="1" applyBorder="1"/>
    <xf numFmtId="0" fontId="8" fillId="0" borderId="1" xfId="0" applyFont="1" applyBorder="1"/>
    <xf numFmtId="0" fontId="8" fillId="4" borderId="1" xfId="1" applyNumberFormat="1" applyFont="1" applyFill="1" applyBorder="1" applyAlignment="1">
      <alignment horizontal="center"/>
    </xf>
    <xf numFmtId="0" fontId="8" fillId="4" borderId="2" xfId="1" applyNumberFormat="1" applyFont="1" applyFill="1" applyBorder="1" applyAlignment="1">
      <alignment horizontal="center"/>
    </xf>
    <xf numFmtId="0" fontId="26" fillId="0" borderId="8" xfId="0" applyFont="1" applyBorder="1"/>
    <xf numFmtId="38" fontId="8" fillId="0" borderId="1" xfId="1" applyNumberFormat="1" applyFont="1" applyBorder="1"/>
    <xf numFmtId="38" fontId="8" fillId="0" borderId="2" xfId="1" applyNumberFormat="1" applyFont="1" applyBorder="1"/>
    <xf numFmtId="38" fontId="8" fillId="8" borderId="2" xfId="1" applyNumberFormat="1" applyFont="1" applyFill="1" applyBorder="1"/>
    <xf numFmtId="38" fontId="8" fillId="0" borderId="1" xfId="0" applyNumberFormat="1" applyFont="1" applyBorder="1"/>
    <xf numFmtId="0" fontId="46" fillId="0" borderId="11" xfId="0" applyFont="1" applyBorder="1"/>
    <xf numFmtId="0" fontId="8" fillId="0" borderId="3" xfId="0" applyFont="1" applyBorder="1"/>
    <xf numFmtId="38" fontId="8" fillId="0" borderId="3" xfId="1" applyNumberFormat="1" applyFont="1" applyBorder="1"/>
    <xf numFmtId="38" fontId="8" fillId="0" borderId="4" xfId="1" applyNumberFormat="1" applyFont="1" applyBorder="1"/>
    <xf numFmtId="38" fontId="8" fillId="13" borderId="4" xfId="1" applyNumberFormat="1" applyFont="1" applyFill="1" applyBorder="1"/>
    <xf numFmtId="0" fontId="2" fillId="11" borderId="1" xfId="0" applyFont="1" applyFill="1" applyBorder="1"/>
    <xf numFmtId="38" fontId="2" fillId="0" borderId="1" xfId="0" applyNumberFormat="1" applyFont="1" applyBorder="1"/>
    <xf numFmtId="0" fontId="47" fillId="0" borderId="0" xfId="0" applyFont="1"/>
    <xf numFmtId="0" fontId="2" fillId="12" borderId="1" xfId="0" applyFont="1" applyFill="1" applyBorder="1"/>
    <xf numFmtId="0" fontId="2" fillId="13" borderId="1" xfId="0" applyFont="1" applyFill="1" applyBorder="1"/>
    <xf numFmtId="9" fontId="2" fillId="0" borderId="0" xfId="3" applyFont="1" applyAlignment="1">
      <alignment horizontal="center"/>
    </xf>
    <xf numFmtId="38" fontId="8" fillId="8" borderId="1" xfId="1" applyNumberFormat="1" applyFont="1" applyFill="1" applyBorder="1"/>
    <xf numFmtId="38" fontId="8" fillId="14" borderId="1" xfId="1" applyNumberFormat="1" applyFont="1" applyFill="1" applyBorder="1"/>
    <xf numFmtId="38" fontId="8" fillId="7" borderId="1" xfId="1" applyNumberFormat="1" applyFont="1" applyFill="1" applyBorder="1"/>
    <xf numFmtId="38" fontId="8" fillId="6" borderId="1" xfId="1" applyNumberFormat="1" applyFont="1" applyFill="1" applyBorder="1"/>
    <xf numFmtId="38" fontId="8" fillId="12" borderId="2" xfId="1" applyNumberFormat="1" applyFont="1" applyFill="1" applyBorder="1"/>
    <xf numFmtId="0" fontId="8" fillId="0" borderId="10" xfId="0" applyFont="1" applyBorder="1"/>
    <xf numFmtId="0" fontId="8" fillId="0" borderId="33" xfId="0" applyFont="1" applyBorder="1"/>
    <xf numFmtId="38" fontId="8" fillId="0" borderId="33" xfId="1" applyNumberFormat="1" applyFont="1" applyBorder="1"/>
    <xf numFmtId="38" fontId="8" fillId="0" borderId="63" xfId="1" applyNumberFormat="1" applyFont="1" applyBorder="1"/>
    <xf numFmtId="38" fontId="8" fillId="7" borderId="0" xfId="1" applyNumberFormat="1" applyFont="1" applyFill="1" applyBorder="1"/>
    <xf numFmtId="38" fontId="0" fillId="13" borderId="0" xfId="0" applyNumberFormat="1" applyFill="1"/>
    <xf numFmtId="173" fontId="0" fillId="0" borderId="0" xfId="0" applyNumberFormat="1"/>
    <xf numFmtId="0" fontId="26" fillId="0" borderId="0" xfId="0" applyFont="1" applyAlignment="1">
      <alignment horizontal="left" vertical="top"/>
    </xf>
    <xf numFmtId="0" fontId="26" fillId="0" borderId="41" xfId="0" applyFont="1" applyBorder="1" applyAlignment="1">
      <alignment horizontal="left"/>
    </xf>
    <xf numFmtId="0" fontId="8" fillId="0" borderId="17" xfId="0" applyFont="1" applyBorder="1" applyAlignment="1">
      <alignment horizontal="left"/>
    </xf>
    <xf numFmtId="0" fontId="26" fillId="0" borderId="18" xfId="0" applyFont="1" applyBorder="1" applyAlignment="1">
      <alignment horizontal="center" vertical="center"/>
    </xf>
    <xf numFmtId="0" fontId="8" fillId="0" borderId="15" xfId="0" applyFont="1" applyBorder="1" applyAlignment="1">
      <alignment horizontal="left"/>
    </xf>
    <xf numFmtId="0" fontId="8" fillId="0" borderId="17" xfId="0" applyFont="1" applyBorder="1"/>
    <xf numFmtId="0" fontId="8" fillId="4" borderId="15" xfId="0" applyFont="1" applyFill="1" applyBorder="1" applyAlignment="1">
      <alignment horizontal="center"/>
    </xf>
    <xf numFmtId="0" fontId="8" fillId="4" borderId="16" xfId="0" applyFont="1" applyFill="1" applyBorder="1" applyAlignment="1">
      <alignment horizontal="center"/>
    </xf>
    <xf numFmtId="0" fontId="8" fillId="4" borderId="6" xfId="0" applyFont="1" applyFill="1" applyBorder="1" applyAlignment="1">
      <alignment horizontal="center"/>
    </xf>
    <xf numFmtId="0" fontId="8" fillId="4" borderId="7" xfId="0" applyFont="1" applyFill="1" applyBorder="1" applyAlignment="1">
      <alignment horizontal="center"/>
    </xf>
    <xf numFmtId="0" fontId="8" fillId="0" borderId="15" xfId="0" applyFont="1" applyBorder="1"/>
    <xf numFmtId="0" fontId="8" fillId="4" borderId="5" xfId="1" applyNumberFormat="1" applyFont="1" applyFill="1" applyBorder="1" applyAlignment="1">
      <alignment horizontal="center"/>
    </xf>
    <xf numFmtId="0" fontId="8" fillId="4" borderId="30" xfId="0" applyFont="1" applyFill="1" applyBorder="1" applyAlignment="1">
      <alignment horizontal="center"/>
    </xf>
    <xf numFmtId="0" fontId="26" fillId="0" borderId="10" xfId="0" applyFont="1" applyBorder="1"/>
    <xf numFmtId="6" fontId="8" fillId="0" borderId="8" xfId="1" applyNumberFormat="1" applyFont="1" applyBorder="1"/>
    <xf numFmtId="6" fontId="8" fillId="0" borderId="36" xfId="1" applyNumberFormat="1" applyFont="1" applyBorder="1"/>
    <xf numFmtId="6" fontId="8" fillId="0" borderId="1" xfId="1" applyNumberFormat="1" applyFont="1" applyBorder="1"/>
    <xf numFmtId="6" fontId="8" fillId="0" borderId="2" xfId="1" applyNumberFormat="1" applyFont="1" applyBorder="1"/>
    <xf numFmtId="6" fontId="8" fillId="0" borderId="31" xfId="1" applyNumberFormat="1" applyFont="1" applyBorder="1"/>
    <xf numFmtId="6" fontId="8" fillId="0" borderId="36" xfId="0" applyNumberFormat="1" applyFont="1" applyBorder="1"/>
    <xf numFmtId="6" fontId="8" fillId="0" borderId="1" xfId="0" applyNumberFormat="1" applyFont="1" applyBorder="1"/>
    <xf numFmtId="6" fontId="8" fillId="0" borderId="2" xfId="0" applyNumberFormat="1" applyFont="1" applyBorder="1"/>
    <xf numFmtId="6" fontId="8" fillId="0" borderId="31" xfId="0" applyNumberFormat="1" applyFont="1" applyBorder="1"/>
    <xf numFmtId="0" fontId="8" fillId="0" borderId="19" xfId="0" applyFont="1" applyBorder="1"/>
    <xf numFmtId="0" fontId="8" fillId="0" borderId="20" xfId="0" applyFont="1" applyBorder="1"/>
    <xf numFmtId="6" fontId="8" fillId="0" borderId="23" xfId="1" applyNumberFormat="1" applyFont="1" applyBorder="1"/>
    <xf numFmtId="6" fontId="8" fillId="0" borderId="37" xfId="0" applyNumberFormat="1" applyFont="1" applyBorder="1"/>
    <xf numFmtId="6" fontId="8" fillId="0" borderId="38" xfId="0" applyNumberFormat="1" applyFont="1" applyBorder="1"/>
    <xf numFmtId="0" fontId="26" fillId="0" borderId="13" xfId="0" applyFont="1" applyBorder="1"/>
    <xf numFmtId="0" fontId="8" fillId="0" borderId="14" xfId="0" applyFont="1" applyBorder="1"/>
    <xf numFmtId="0" fontId="8" fillId="0" borderId="11" xfId="0" applyFont="1" applyBorder="1"/>
    <xf numFmtId="0" fontId="8" fillId="0" borderId="12" xfId="0" applyFont="1" applyBorder="1"/>
    <xf numFmtId="6" fontId="8" fillId="6" borderId="8" xfId="1" applyNumberFormat="1" applyFont="1" applyFill="1" applyBorder="1"/>
    <xf numFmtId="6" fontId="8" fillId="0" borderId="5" xfId="1" applyNumberFormat="1" applyFont="1" applyBorder="1"/>
    <xf numFmtId="6" fontId="8" fillId="0" borderId="39" xfId="1" applyNumberFormat="1" applyFont="1" applyBorder="1"/>
    <xf numFmtId="6" fontId="8" fillId="0" borderId="6" xfId="1" applyNumberFormat="1" applyFont="1" applyBorder="1"/>
    <xf numFmtId="6" fontId="8" fillId="0" borderId="7" xfId="1" applyNumberFormat="1" applyFont="1" applyBorder="1"/>
    <xf numFmtId="6" fontId="8" fillId="0" borderId="30" xfId="1" applyNumberFormat="1" applyFont="1" applyBorder="1"/>
    <xf numFmtId="38" fontId="8" fillId="0" borderId="27" xfId="1" applyNumberFormat="1" applyFont="1" applyBorder="1"/>
    <xf numFmtId="38" fontId="8" fillId="0" borderId="28" xfId="0" applyNumberFormat="1" applyFont="1" applyBorder="1"/>
    <xf numFmtId="38" fontId="8" fillId="0" borderId="25" xfId="0" applyNumberFormat="1" applyFont="1" applyBorder="1"/>
    <xf numFmtId="38" fontId="8" fillId="0" borderId="26" xfId="0" applyNumberFormat="1" applyFont="1" applyBorder="1"/>
    <xf numFmtId="38" fontId="8" fillId="0" borderId="40" xfId="0" applyNumberFormat="1" applyFont="1" applyBorder="1"/>
    <xf numFmtId="0" fontId="49" fillId="3" borderId="6" xfId="0" applyFont="1" applyFill="1" applyBorder="1" applyAlignment="1">
      <alignment horizontal="center"/>
    </xf>
    <xf numFmtId="0" fontId="49" fillId="3" borderId="7" xfId="0" applyFont="1" applyFill="1" applyBorder="1" applyAlignment="1">
      <alignment horizontal="center"/>
    </xf>
    <xf numFmtId="0" fontId="41" fillId="4" borderId="9" xfId="0" applyFont="1" applyFill="1" applyBorder="1"/>
    <xf numFmtId="167" fontId="45" fillId="5" borderId="3" xfId="1" applyNumberFormat="1" applyFont="1" applyFill="1" applyBorder="1"/>
    <xf numFmtId="167" fontId="45" fillId="5" borderId="4" xfId="1" applyNumberFormat="1" applyFont="1" applyFill="1" applyBorder="1"/>
    <xf numFmtId="0" fontId="41" fillId="0" borderId="0" xfId="0" applyFont="1" applyAlignment="1">
      <alignment horizontal="center" vertical="center"/>
    </xf>
    <xf numFmtId="0" fontId="45" fillId="0" borderId="0" xfId="0" applyFont="1"/>
    <xf numFmtId="0" fontId="41" fillId="0" borderId="0" xfId="0" applyFont="1"/>
    <xf numFmtId="0" fontId="44" fillId="0" borderId="0" xfId="0" applyFont="1" applyAlignment="1">
      <alignment vertical="center"/>
    </xf>
    <xf numFmtId="0" fontId="2" fillId="0" borderId="0" xfId="0" applyFont="1" applyAlignment="1">
      <alignment horizontal="left"/>
    </xf>
    <xf numFmtId="169" fontId="2" fillId="0" borderId="0" xfId="0" applyNumberFormat="1" applyFont="1"/>
    <xf numFmtId="10" fontId="2" fillId="0" borderId="0" xfId="0" applyNumberFormat="1" applyFont="1"/>
    <xf numFmtId="0" fontId="48" fillId="0" borderId="0" xfId="0" applyFont="1"/>
    <xf numFmtId="168" fontId="2" fillId="0" borderId="0" xfId="0" applyNumberFormat="1" applyFont="1"/>
    <xf numFmtId="10" fontId="3" fillId="7" borderId="42" xfId="3" applyNumberFormat="1" applyFont="1" applyFill="1" applyBorder="1"/>
    <xf numFmtId="10" fontId="3" fillId="7" borderId="64" xfId="3" applyNumberFormat="1" applyFont="1" applyFill="1" applyBorder="1"/>
    <xf numFmtId="38" fontId="3" fillId="9" borderId="6" xfId="1" applyNumberFormat="1" applyFont="1" applyFill="1" applyBorder="1"/>
    <xf numFmtId="0" fontId="7" fillId="13" borderId="9" xfId="0" applyFont="1" applyFill="1" applyBorder="1"/>
    <xf numFmtId="3" fontId="32" fillId="13" borderId="49" xfId="0" applyNumberFormat="1" applyFont="1" applyFill="1" applyBorder="1" applyAlignment="1">
      <alignment horizontal="center" vertical="center"/>
    </xf>
    <xf numFmtId="3" fontId="32" fillId="13" borderId="50" xfId="0" applyNumberFormat="1" applyFont="1" applyFill="1" applyBorder="1" applyAlignment="1">
      <alignment horizontal="center" vertical="center"/>
    </xf>
    <xf numFmtId="0" fontId="28" fillId="13" borderId="9" xfId="0" applyFont="1" applyFill="1" applyBorder="1"/>
    <xf numFmtId="167" fontId="29" fillId="13" borderId="3" xfId="1" applyNumberFormat="1" applyFont="1" applyFill="1" applyBorder="1"/>
    <xf numFmtId="167" fontId="29" fillId="13" borderId="4" xfId="1" applyNumberFormat="1" applyFont="1" applyFill="1" applyBorder="1"/>
    <xf numFmtId="0" fontId="0" fillId="0" borderId="0" xfId="0" pivotButton="1"/>
    <xf numFmtId="166" fontId="2" fillId="0" borderId="0" xfId="1" applyFont="1"/>
    <xf numFmtId="166" fontId="0" fillId="0" borderId="0" xfId="1" applyFont="1"/>
    <xf numFmtId="0" fontId="50" fillId="15" borderId="1" xfId="4" applyBorder="1" applyAlignment="1">
      <alignment horizontal="center"/>
    </xf>
    <xf numFmtId="38" fontId="1" fillId="16" borderId="1" xfId="5" applyNumberFormat="1" applyBorder="1" applyAlignment="1">
      <alignment horizontal="center"/>
    </xf>
    <xf numFmtId="169" fontId="1" fillId="16" borderId="1" xfId="5" applyNumberFormat="1" applyBorder="1" applyAlignment="1">
      <alignment horizontal="center"/>
    </xf>
    <xf numFmtId="0" fontId="1" fillId="17" borderId="1" xfId="6" applyBorder="1" applyAlignment="1">
      <alignment horizontal="center"/>
    </xf>
    <xf numFmtId="0" fontId="51" fillId="0" borderId="0" xfId="0" applyFont="1"/>
    <xf numFmtId="0" fontId="8" fillId="0" borderId="0" xfId="0" applyFont="1" applyAlignment="1">
      <alignment horizontal="left" vertical="center"/>
    </xf>
    <xf numFmtId="0" fontId="52" fillId="0" borderId="0" xfId="0" applyFont="1"/>
    <xf numFmtId="0" fontId="12" fillId="19" borderId="5" xfId="0" applyFont="1" applyFill="1" applyBorder="1"/>
    <xf numFmtId="0" fontId="12" fillId="19" borderId="7" xfId="0" applyFont="1" applyFill="1" applyBorder="1"/>
    <xf numFmtId="0" fontId="12" fillId="19" borderId="8" xfId="0" applyFont="1" applyFill="1" applyBorder="1"/>
    <xf numFmtId="0" fontId="3" fillId="0" borderId="2" xfId="0" applyFont="1" applyBorder="1"/>
    <xf numFmtId="0" fontId="12" fillId="19" borderId="9" xfId="0" applyFont="1" applyFill="1" applyBorder="1"/>
    <xf numFmtId="0" fontId="3" fillId="0" borderId="4" xfId="0" applyFont="1" applyBorder="1"/>
    <xf numFmtId="0" fontId="3" fillId="0" borderId="5" xfId="0" applyFont="1" applyBorder="1"/>
    <xf numFmtId="0" fontId="3" fillId="0" borderId="6" xfId="0" applyFont="1" applyBorder="1"/>
    <xf numFmtId="0" fontId="3" fillId="0" borderId="7" xfId="0" applyFont="1" applyBorder="1"/>
    <xf numFmtId="0" fontId="3" fillId="0" borderId="9" xfId="0" applyFont="1" applyBorder="1"/>
    <xf numFmtId="0" fontId="11" fillId="0" borderId="0" xfId="0" applyFont="1" applyAlignment="1">
      <alignment horizontal="center"/>
    </xf>
    <xf numFmtId="0" fontId="43" fillId="0" borderId="0" xfId="0" applyFont="1" applyAlignment="1">
      <alignment horizontal="center"/>
    </xf>
    <xf numFmtId="0" fontId="9" fillId="0" borderId="0" xfId="0" applyFont="1"/>
    <xf numFmtId="164" fontId="9" fillId="0" borderId="0" xfId="0" applyNumberFormat="1" applyFont="1"/>
    <xf numFmtId="0" fontId="0" fillId="20" borderId="0" xfId="0" applyFill="1"/>
    <xf numFmtId="0" fontId="15" fillId="20" borderId="0" xfId="0" applyFont="1" applyFill="1"/>
    <xf numFmtId="0" fontId="0" fillId="20" borderId="0" xfId="0" applyFill="1" applyAlignment="1">
      <alignment horizontal="center" vertical="center"/>
    </xf>
    <xf numFmtId="0" fontId="53" fillId="0" borderId="0" xfId="0" applyFont="1" applyAlignment="1">
      <alignment horizontal="center" vertical="center"/>
    </xf>
    <xf numFmtId="0" fontId="2" fillId="21" borderId="1" xfId="0" applyFont="1" applyFill="1" applyBorder="1"/>
    <xf numFmtId="169" fontId="0" fillId="22" borderId="1" xfId="0" applyNumberFormat="1" applyFill="1" applyBorder="1"/>
    <xf numFmtId="174" fontId="0" fillId="0" borderId="0" xfId="0" applyNumberFormat="1"/>
    <xf numFmtId="0" fontId="24" fillId="0" borderId="0" xfId="0" applyFont="1" applyAlignment="1">
      <alignment horizontal="center" vertical="center"/>
    </xf>
    <xf numFmtId="0" fontId="3" fillId="4" borderId="42" xfId="1" applyNumberFormat="1" applyFont="1" applyFill="1" applyBorder="1" applyAlignment="1">
      <alignment horizontal="center"/>
    </xf>
    <xf numFmtId="0" fontId="3" fillId="4" borderId="14" xfId="1" applyNumberFormat="1" applyFont="1" applyFill="1" applyBorder="1" applyAlignment="1">
      <alignment horizontal="center"/>
    </xf>
    <xf numFmtId="0" fontId="3" fillId="4" borderId="58" xfId="1" applyNumberFormat="1" applyFont="1" applyFill="1" applyBorder="1" applyAlignment="1">
      <alignment horizontal="center"/>
    </xf>
    <xf numFmtId="0" fontId="12" fillId="11" borderId="42" xfId="1" applyNumberFormat="1" applyFont="1" applyFill="1" applyBorder="1" applyAlignment="1">
      <alignment horizontal="center"/>
    </xf>
    <xf numFmtId="0" fontId="12" fillId="11" borderId="14" xfId="1" applyNumberFormat="1" applyFont="1" applyFill="1" applyBorder="1" applyAlignment="1">
      <alignment horizontal="center"/>
    </xf>
    <xf numFmtId="0" fontId="12" fillId="11" borderId="43" xfId="1" applyNumberFormat="1" applyFont="1" applyFill="1" applyBorder="1" applyAlignment="1">
      <alignment horizontal="center"/>
    </xf>
    <xf numFmtId="0" fontId="12" fillId="6" borderId="42" xfId="1" applyNumberFormat="1" applyFont="1" applyFill="1" applyBorder="1" applyAlignment="1">
      <alignment horizontal="center"/>
    </xf>
    <xf numFmtId="0" fontId="12" fillId="6" borderId="43" xfId="1" applyNumberFormat="1" applyFont="1" applyFill="1" applyBorder="1" applyAlignment="1">
      <alignment horizontal="center"/>
    </xf>
    <xf numFmtId="0" fontId="5" fillId="0" borderId="1" xfId="0" applyFont="1" applyBorder="1" applyAlignment="1">
      <alignment horizontal="left" vertical="center"/>
    </xf>
    <xf numFmtId="0" fontId="33" fillId="0" borderId="42" xfId="0" applyFont="1" applyBorder="1" applyAlignment="1">
      <alignment horizontal="center" vertical="center"/>
    </xf>
    <xf numFmtId="0" fontId="33" fillId="0" borderId="14" xfId="0" applyFont="1" applyBorder="1" applyAlignment="1">
      <alignment horizontal="center" vertical="center"/>
    </xf>
    <xf numFmtId="0" fontId="5" fillId="0" borderId="5" xfId="0" applyFont="1" applyBorder="1" applyAlignment="1">
      <alignment horizontal="left" vertical="center"/>
    </xf>
    <xf numFmtId="0" fontId="5" fillId="0" borderId="6" xfId="0" applyFont="1" applyBorder="1" applyAlignment="1">
      <alignment horizontal="left" vertical="center"/>
    </xf>
    <xf numFmtId="0" fontId="18" fillId="0" borderId="55" xfId="0" applyFont="1" applyBorder="1" applyAlignment="1">
      <alignment horizontal="center" vertical="center"/>
    </xf>
    <xf numFmtId="0" fontId="18" fillId="0" borderId="56" xfId="0" applyFont="1" applyBorder="1" applyAlignment="1">
      <alignment horizontal="center" vertical="center"/>
    </xf>
    <xf numFmtId="0" fontId="18" fillId="0" borderId="57" xfId="0" applyFont="1" applyBorder="1" applyAlignment="1">
      <alignment horizontal="center" vertical="center"/>
    </xf>
    <xf numFmtId="0" fontId="48" fillId="0" borderId="0" xfId="0" applyFont="1" applyAlignment="1">
      <alignment horizontal="center"/>
    </xf>
    <xf numFmtId="0" fontId="14" fillId="0" borderId="0" xfId="0" applyFont="1" applyAlignment="1">
      <alignment horizontal="center" vertical="center" textRotation="90"/>
    </xf>
    <xf numFmtId="0" fontId="34" fillId="0" borderId="55" xfId="0" applyFont="1" applyBorder="1" applyAlignment="1">
      <alignment horizontal="center" vertical="center"/>
    </xf>
    <xf numFmtId="0" fontId="34" fillId="0" borderId="56" xfId="0" applyFont="1" applyBorder="1" applyAlignment="1">
      <alignment horizontal="center" vertical="center"/>
    </xf>
    <xf numFmtId="0" fontId="34" fillId="0" borderId="57" xfId="0" applyFont="1" applyBorder="1" applyAlignment="1">
      <alignment horizontal="center" vertical="center"/>
    </xf>
    <xf numFmtId="0" fontId="8" fillId="4" borderId="42" xfId="1" applyNumberFormat="1" applyFont="1" applyFill="1" applyBorder="1" applyAlignment="1">
      <alignment horizontal="center"/>
    </xf>
    <xf numFmtId="0" fontId="8" fillId="4" borderId="14" xfId="1" applyNumberFormat="1" applyFont="1" applyFill="1" applyBorder="1" applyAlignment="1">
      <alignment horizontal="center"/>
    </xf>
    <xf numFmtId="0" fontId="8" fillId="4" borderId="58" xfId="1" applyNumberFormat="1" applyFont="1" applyFill="1" applyBorder="1" applyAlignment="1">
      <alignment horizontal="center"/>
    </xf>
    <xf numFmtId="0" fontId="26" fillId="0" borderId="62" xfId="0" applyFont="1" applyBorder="1" applyAlignment="1">
      <alignment horizontal="left" vertical="center"/>
    </xf>
    <xf numFmtId="0" fontId="26" fillId="0" borderId="24" xfId="0" applyFont="1" applyBorder="1" applyAlignment="1">
      <alignment horizontal="left" vertical="center"/>
    </xf>
    <xf numFmtId="0" fontId="50" fillId="15" borderId="65" xfId="4" applyBorder="1" applyAlignment="1">
      <alignment horizontal="center"/>
    </xf>
    <xf numFmtId="0" fontId="50" fillId="15" borderId="0" xfId="4" applyBorder="1" applyAlignment="1">
      <alignment horizontal="center"/>
    </xf>
    <xf numFmtId="0" fontId="15" fillId="18" borderId="1" xfId="0" applyFont="1" applyFill="1" applyBorder="1" applyAlignment="1">
      <alignment horizontal="center"/>
    </xf>
    <xf numFmtId="0" fontId="15" fillId="18" borderId="0" xfId="0" applyFont="1" applyFill="1" applyAlignment="1">
      <alignment horizontal="center"/>
    </xf>
    <xf numFmtId="0" fontId="26" fillId="0" borderId="45" xfId="0" applyFont="1" applyBorder="1" applyAlignment="1">
      <alignment horizontal="center" vertical="center"/>
    </xf>
    <xf numFmtId="0" fontId="26" fillId="0" borderId="46" xfId="0" applyFont="1" applyBorder="1" applyAlignment="1">
      <alignment horizontal="center" vertical="center"/>
    </xf>
  </cellXfs>
  <cellStyles count="7">
    <cellStyle name="20% - Accent6" xfId="5" builtinId="50"/>
    <cellStyle name="60% - Accent6" xfId="6" builtinId="52"/>
    <cellStyle name="Accent6" xfId="4" builtinId="49"/>
    <cellStyle name="Comma" xfId="1" builtinId="3"/>
    <cellStyle name="Currency" xfId="2" builtinId="4"/>
    <cellStyle name="Normal" xfId="0" builtinId="0"/>
    <cellStyle name="Percent" xfId="3" builtinId="5"/>
  </cellStyles>
  <dxfs count="9">
    <dxf>
      <numFmt numFmtId="174" formatCode="_(&quot;$&quot;* #,##0_);_(&quot;$&quot;* \(#,##0\);_(&quot;$&quot;* &quot;-&quot;??_);_(@_)"/>
    </dxf>
    <dxf>
      <numFmt numFmtId="170" formatCode="#,##0.0%;[Red]\-#,##0.0%"/>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0"/>
        <color auto="1"/>
        <name val="Arial"/>
        <scheme val="none"/>
      </font>
    </dxf>
    <dxf>
      <font>
        <b/>
        <i val="0"/>
        <strike val="0"/>
        <condense val="0"/>
        <extend val="0"/>
        <outline val="0"/>
        <shadow val="0"/>
        <u val="none"/>
        <vertAlign val="baseline"/>
        <sz val="10"/>
        <color auto="1"/>
        <name val="Arial"/>
        <scheme val="none"/>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0033CC"/>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2.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1.xml"/><Relationship Id="rId28"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microsoft.com/office/2007/relationships/slicerCache" Target="slicerCaches/slicerCache3.xml"/><Relationship Id="rId30" Type="http://schemas.openxmlformats.org/officeDocument/2006/relationships/theme" Target="theme/theme1.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Net</a:t>
            </a:r>
            <a:r>
              <a:rPr lang="en-US" baseline="0"/>
              <a:t> Profit Before Tax</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'Income Statement'!$E$38:$G$38</c:f>
              <c:numCache>
                <c:formatCode>General</c:formatCode>
                <c:ptCount val="3"/>
                <c:pt idx="0">
                  <c:v>2019</c:v>
                </c:pt>
                <c:pt idx="1">
                  <c:v>2020</c:v>
                </c:pt>
                <c:pt idx="2">
                  <c:v>2021</c:v>
                </c:pt>
              </c:numCache>
            </c:numRef>
          </c:cat>
          <c:val>
            <c:numRef>
              <c:f>'Income Statement'!$E$49:$G$49</c:f>
              <c:numCache>
                <c:formatCode>#,##0_);[Red]\(#,##0\)</c:formatCode>
                <c:ptCount val="3"/>
                <c:pt idx="0">
                  <c:v>408311</c:v>
                </c:pt>
                <c:pt idx="1">
                  <c:v>418436.39999999991</c:v>
                </c:pt>
                <c:pt idx="2">
                  <c:v>554163.79999999981</c:v>
                </c:pt>
              </c:numCache>
            </c:numRef>
          </c:val>
          <c:smooth val="0"/>
          <c:extLst>
            <c:ext xmlns:c16="http://schemas.microsoft.com/office/drawing/2014/chart" uri="{C3380CC4-5D6E-409C-BE32-E72D297353CC}">
              <c16:uniqueId val="{00000000-AD84-4A7F-B6A2-8425E716A940}"/>
            </c:ext>
          </c:extLst>
        </c:ser>
        <c:dLbls>
          <c:dLblPos val="t"/>
          <c:showLegendKey val="0"/>
          <c:showVal val="1"/>
          <c:showCatName val="0"/>
          <c:showSerName val="0"/>
          <c:showPercent val="0"/>
          <c:showBubbleSize val="0"/>
        </c:dLbls>
        <c:smooth val="0"/>
        <c:axId val="722937199"/>
        <c:axId val="722934287"/>
      </c:lineChart>
      <c:catAx>
        <c:axId val="722937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934287"/>
        <c:crosses val="autoZero"/>
        <c:auto val="1"/>
        <c:lblAlgn val="ctr"/>
        <c:lblOffset val="100"/>
        <c:noMultiLvlLbl val="0"/>
      </c:catAx>
      <c:valAx>
        <c:axId val="722934287"/>
        <c:scaling>
          <c:orientation val="minMax"/>
        </c:scaling>
        <c:delete val="0"/>
        <c:axPos val="l"/>
        <c:majorGridlines>
          <c:spPr>
            <a:ln w="9525" cap="flat" cmpd="sng" algn="ctr">
              <a:solidFill>
                <a:schemeClr val="tx1">
                  <a:lumMod val="15000"/>
                  <a:lumOff val="85000"/>
                </a:schemeClr>
              </a:solidFill>
              <a:round/>
            </a:ln>
            <a:effectLst/>
          </c:spPr>
        </c:majorGridlines>
        <c:numFmt formatCode="#,##0_);[Red]\(#,##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937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Net</a:t>
            </a:r>
            <a:r>
              <a:rPr lang="en-US" baseline="0"/>
              <a:t> Profit Contribution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851-4585-8986-A148A7D5DB6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851-4585-8986-A148A7D5DB6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851-4585-8986-A148A7D5DB6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851-4585-8986-A148A7D5DB6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'Income Statement'!$E$77:$H$77</c:f>
              <c:strCache>
                <c:ptCount val="4"/>
                <c:pt idx="0">
                  <c:v>Brisbane</c:v>
                </c:pt>
                <c:pt idx="1">
                  <c:v>Cairns</c:v>
                </c:pt>
                <c:pt idx="2">
                  <c:v>Gold Coast</c:v>
                </c:pt>
                <c:pt idx="3">
                  <c:v>Townsville</c:v>
                </c:pt>
              </c:strCache>
            </c:strRef>
          </c:cat>
          <c:val>
            <c:numRef>
              <c:f>'Income Statement'!$E$90:$H$90</c:f>
              <c:numCache>
                <c:formatCode>#,##0.0%;[Red]\-#,##0.0%</c:formatCode>
                <c:ptCount val="4"/>
                <c:pt idx="0">
                  <c:v>0.38528890888516643</c:v>
                </c:pt>
                <c:pt idx="1">
                  <c:v>0.26177444400241257</c:v>
                </c:pt>
                <c:pt idx="2">
                  <c:v>0.19835154009501091</c:v>
                </c:pt>
                <c:pt idx="3">
                  <c:v>0.1545851070174101</c:v>
                </c:pt>
              </c:numCache>
            </c:numRef>
          </c:val>
          <c:extLst>
            <c:ext xmlns:c16="http://schemas.microsoft.com/office/drawing/2014/chart" uri="{C3380CC4-5D6E-409C-BE32-E72D297353CC}">
              <c16:uniqueId val="{00000008-F851-4585-8986-A148A7D5DB6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Profitability Overview by Region</a:t>
            </a:r>
            <a:r>
              <a:rPr lang="en-US" sz="1400" b="0" i="0" u="none" strike="noStrike"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'Income Statement'!$B$91</c:f>
              <c:strCache>
                <c:ptCount val="1"/>
                <c:pt idx="0">
                  <c:v>Gross Profit Margin</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'Income Statement'!$E$77:$H$77</c:f>
              <c:strCache>
                <c:ptCount val="4"/>
                <c:pt idx="0">
                  <c:v>Brisbane</c:v>
                </c:pt>
                <c:pt idx="1">
                  <c:v>Cairns</c:v>
                </c:pt>
                <c:pt idx="2">
                  <c:v>Gold Coast</c:v>
                </c:pt>
                <c:pt idx="3">
                  <c:v>Townsville</c:v>
                </c:pt>
              </c:strCache>
            </c:strRef>
          </c:cat>
          <c:val>
            <c:numRef>
              <c:f>'Income Statement'!$E$91:$H$91</c:f>
              <c:numCache>
                <c:formatCode>#,##0.0%;[Red]\-#,##0.0%</c:formatCode>
                <c:ptCount val="4"/>
                <c:pt idx="0">
                  <c:v>0.23665854956230292</c:v>
                </c:pt>
                <c:pt idx="1">
                  <c:v>0.23976239661717216</c:v>
                </c:pt>
                <c:pt idx="2">
                  <c:v>0.23651171059064041</c:v>
                </c:pt>
                <c:pt idx="3">
                  <c:v>0.2369281405971676</c:v>
                </c:pt>
              </c:numCache>
            </c:numRef>
          </c:val>
          <c:extLst>
            <c:ext xmlns:c16="http://schemas.microsoft.com/office/drawing/2014/chart" uri="{C3380CC4-5D6E-409C-BE32-E72D297353CC}">
              <c16:uniqueId val="{00000000-845E-4DBB-A0FC-A572351D79C3}"/>
            </c:ext>
          </c:extLst>
        </c:ser>
        <c:ser>
          <c:idx val="2"/>
          <c:order val="1"/>
          <c:tx>
            <c:strRef>
              <c:f>'Income Statement'!$B$92</c:f>
              <c:strCache>
                <c:ptCount val="1"/>
                <c:pt idx="0">
                  <c:v>Net Profit Margin</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'Income Statement'!$E$77:$H$77</c:f>
              <c:strCache>
                <c:ptCount val="4"/>
                <c:pt idx="0">
                  <c:v>Brisbane</c:v>
                </c:pt>
                <c:pt idx="1">
                  <c:v>Cairns</c:v>
                </c:pt>
                <c:pt idx="2">
                  <c:v>Gold Coast</c:v>
                </c:pt>
                <c:pt idx="3">
                  <c:v>Townsville</c:v>
                </c:pt>
              </c:strCache>
            </c:strRef>
          </c:cat>
          <c:val>
            <c:numRef>
              <c:f>'Income Statement'!$E$92:$H$92</c:f>
              <c:numCache>
                <c:formatCode>#,##0.0%;[Red]\-#,##0.0%</c:formatCode>
                <c:ptCount val="4"/>
                <c:pt idx="0">
                  <c:v>4.3362010464798921E-2</c:v>
                </c:pt>
                <c:pt idx="1">
                  <c:v>6.8963201058003756E-2</c:v>
                </c:pt>
                <c:pt idx="2">
                  <c:v>2.9193646949024502E-2</c:v>
                </c:pt>
                <c:pt idx="3">
                  <c:v>3.6115324244722316E-2</c:v>
                </c:pt>
              </c:numCache>
            </c:numRef>
          </c:val>
          <c:extLst>
            <c:ext xmlns:c16="http://schemas.microsoft.com/office/drawing/2014/chart" uri="{C3380CC4-5D6E-409C-BE32-E72D297353CC}">
              <c16:uniqueId val="{00000001-845E-4DBB-A0FC-A572351D79C3}"/>
            </c:ext>
          </c:extLst>
        </c:ser>
        <c:dLbls>
          <c:showLegendKey val="0"/>
          <c:showVal val="0"/>
          <c:showCatName val="0"/>
          <c:showSerName val="0"/>
          <c:showPercent val="0"/>
          <c:showBubbleSize val="0"/>
        </c:dLbls>
        <c:gapWidth val="219"/>
        <c:overlap val="-27"/>
        <c:axId val="653691464"/>
        <c:axId val="653695072"/>
      </c:barChart>
      <c:catAx>
        <c:axId val="6536914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3695072"/>
        <c:crosses val="autoZero"/>
        <c:auto val="1"/>
        <c:lblAlgn val="ctr"/>
        <c:lblOffset val="100"/>
        <c:noMultiLvlLbl val="0"/>
      </c:catAx>
      <c:valAx>
        <c:axId val="653695072"/>
        <c:scaling>
          <c:orientation val="minMax"/>
        </c:scaling>
        <c:delete val="0"/>
        <c:axPos val="l"/>
        <c:majorGridlines>
          <c:spPr>
            <a:ln w="9525" cap="flat" cmpd="sng" algn="ctr">
              <a:solidFill>
                <a:schemeClr val="tx1">
                  <a:lumMod val="15000"/>
                  <a:lumOff val="85000"/>
                </a:schemeClr>
              </a:solidFill>
              <a:round/>
            </a:ln>
            <a:effectLst/>
          </c:spPr>
        </c:majorGridlines>
        <c:numFmt formatCode="#,##0.0%;[Red]\-#,##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36914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8986354775828458E-2"/>
          <c:y val="0.11518324607329843"/>
          <c:w val="0.91423001949317739"/>
          <c:h val="0.64190295584779655"/>
        </c:manualLayout>
      </c:layout>
      <c:lineChart>
        <c:grouping val="stacked"/>
        <c:varyColors val="0"/>
        <c:ser>
          <c:idx val="0"/>
          <c:order val="0"/>
          <c:spPr>
            <a:ln w="28575" cap="rnd">
              <a:solidFill>
                <a:schemeClr val="accent5">
                  <a:lumMod val="60000"/>
                  <a:lumOff val="40000"/>
                </a:schemeClr>
              </a:solidFill>
              <a:round/>
            </a:ln>
            <a:effectLst/>
          </c:spPr>
          <c:marker>
            <c:symbol val="circle"/>
            <c:size val="7"/>
            <c:spPr>
              <a:solidFill>
                <a:schemeClr val="accent5">
                  <a:lumMod val="50000"/>
                </a:schemeClr>
              </a:solidFill>
              <a:ln w="9525">
                <a:solidFill>
                  <a:schemeClr val="accent5">
                    <a:lumMod val="5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l"/>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'Income Statement'!$E$38:$G$38</c:f>
              <c:numCache>
                <c:formatCode>General</c:formatCode>
                <c:ptCount val="3"/>
                <c:pt idx="0">
                  <c:v>2019</c:v>
                </c:pt>
                <c:pt idx="1">
                  <c:v>2020</c:v>
                </c:pt>
                <c:pt idx="2">
                  <c:v>2021</c:v>
                </c:pt>
              </c:numCache>
            </c:numRef>
          </c:cat>
          <c:val>
            <c:numRef>
              <c:f>'Income Statement'!$E$49:$G$49</c:f>
              <c:numCache>
                <c:formatCode>#,##0_);[Red]\(#,##0\)</c:formatCode>
                <c:ptCount val="3"/>
                <c:pt idx="0">
                  <c:v>408311</c:v>
                </c:pt>
                <c:pt idx="1">
                  <c:v>418436.39999999991</c:v>
                </c:pt>
                <c:pt idx="2">
                  <c:v>554163.79999999981</c:v>
                </c:pt>
              </c:numCache>
            </c:numRef>
          </c:val>
          <c:smooth val="0"/>
          <c:extLst>
            <c:ext xmlns:c16="http://schemas.microsoft.com/office/drawing/2014/chart" uri="{C3380CC4-5D6E-409C-BE32-E72D297353CC}">
              <c16:uniqueId val="{00000000-332D-404D-9456-510C1BDF9641}"/>
            </c:ext>
          </c:extLst>
        </c:ser>
        <c:dLbls>
          <c:dLblPos val="l"/>
          <c:showLegendKey val="0"/>
          <c:showVal val="1"/>
          <c:showCatName val="0"/>
          <c:showSerName val="0"/>
          <c:showPercent val="0"/>
          <c:showBubbleSize val="0"/>
        </c:dLbls>
        <c:marker val="1"/>
        <c:smooth val="0"/>
        <c:axId val="722937199"/>
        <c:axId val="722934287"/>
      </c:lineChart>
      <c:catAx>
        <c:axId val="72293719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934287"/>
        <c:crosses val="autoZero"/>
        <c:auto val="1"/>
        <c:lblAlgn val="ctr"/>
        <c:lblOffset val="100"/>
        <c:noMultiLvlLbl val="0"/>
      </c:catAx>
      <c:valAx>
        <c:axId val="722934287"/>
        <c:scaling>
          <c:orientation val="minMax"/>
        </c:scaling>
        <c:delete val="1"/>
        <c:axPos val="l"/>
        <c:majorGridlines>
          <c:spPr>
            <a:ln w="9525" cap="flat" cmpd="sng" algn="ctr">
              <a:solidFill>
                <a:schemeClr val="tx1">
                  <a:lumMod val="15000"/>
                  <a:lumOff val="85000"/>
                </a:schemeClr>
              </a:solidFill>
              <a:round/>
            </a:ln>
            <a:effectLst/>
          </c:spPr>
        </c:majorGridlines>
        <c:numFmt formatCode="#,##0_);[Red]\(#,##0\)" sourceLinked="1"/>
        <c:majorTickMark val="out"/>
        <c:minorTickMark val="none"/>
        <c:tickLblPos val="nextTo"/>
        <c:crossAx val="722937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5">
          <a:lumMod val="50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1"/>
    <c:plotArea>
      <c:layout>
        <c:manualLayout>
          <c:layoutTarget val="inner"/>
          <c:xMode val="edge"/>
          <c:yMode val="edge"/>
          <c:x val="0.25115816231632465"/>
          <c:y val="4.4673539518900345E-2"/>
          <c:w val="0.54989800979601955"/>
          <c:h val="0.92439862542955331"/>
        </c:manualLayout>
      </c:layout>
      <c:barChart>
        <c:barDir val="col"/>
        <c:grouping val="stacked"/>
        <c:varyColors val="0"/>
        <c:ser>
          <c:idx val="0"/>
          <c:order val="0"/>
          <c:tx>
            <c:strRef>
              <c:f>'Income Statement'!$E$77</c:f>
              <c:strCache>
                <c:ptCount val="1"/>
                <c:pt idx="0">
                  <c:v>Brisbane</c:v>
                </c:pt>
              </c:strCache>
            </c:strRef>
          </c:tx>
          <c:spPr>
            <a:solidFill>
              <a:schemeClr val="accent5">
                <a:shade val="58000"/>
              </a:schemeClr>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'Income Statement'!$F$75:$H$75</c:f>
              <c:numCache>
                <c:formatCode>General</c:formatCode>
                <c:ptCount val="3"/>
                <c:pt idx="0">
                  <c:v>2019</c:v>
                </c:pt>
              </c:numCache>
            </c:numRef>
          </c:cat>
          <c:val>
            <c:numRef>
              <c:f>'Income Statement'!$E$90</c:f>
              <c:numCache>
                <c:formatCode>#,##0.0%;[Red]\-#,##0.0%</c:formatCode>
                <c:ptCount val="1"/>
                <c:pt idx="0">
                  <c:v>0.38528890888516643</c:v>
                </c:pt>
              </c:numCache>
            </c:numRef>
          </c:val>
          <c:extLst>
            <c:ext xmlns:c16="http://schemas.microsoft.com/office/drawing/2014/chart" uri="{C3380CC4-5D6E-409C-BE32-E72D297353CC}">
              <c16:uniqueId val="{00000000-34F4-4F7B-B466-4CBC8B6271B1}"/>
            </c:ext>
          </c:extLst>
        </c:ser>
        <c:ser>
          <c:idx val="1"/>
          <c:order val="1"/>
          <c:tx>
            <c:strRef>
              <c:f>'Income Statement'!$F$77</c:f>
              <c:strCache>
                <c:ptCount val="1"/>
                <c:pt idx="0">
                  <c:v>Cairns</c:v>
                </c:pt>
              </c:strCache>
            </c:strRef>
          </c:tx>
          <c:spPr>
            <a:solidFill>
              <a:schemeClr val="accent5">
                <a:shade val="86000"/>
              </a:schemeClr>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'Income Statement'!$F$75:$H$75</c:f>
              <c:numCache>
                <c:formatCode>General</c:formatCode>
                <c:ptCount val="3"/>
                <c:pt idx="0">
                  <c:v>2019</c:v>
                </c:pt>
              </c:numCache>
            </c:numRef>
          </c:cat>
          <c:val>
            <c:numRef>
              <c:f>'Income Statement'!$F$90</c:f>
              <c:numCache>
                <c:formatCode>#,##0.0%;[Red]\-#,##0.0%</c:formatCode>
                <c:ptCount val="1"/>
                <c:pt idx="0">
                  <c:v>0.26177444400241257</c:v>
                </c:pt>
              </c:numCache>
            </c:numRef>
          </c:val>
          <c:extLst>
            <c:ext xmlns:c16="http://schemas.microsoft.com/office/drawing/2014/chart" uri="{C3380CC4-5D6E-409C-BE32-E72D297353CC}">
              <c16:uniqueId val="{00000002-34F4-4F7B-B466-4CBC8B6271B1}"/>
            </c:ext>
          </c:extLst>
        </c:ser>
        <c:ser>
          <c:idx val="2"/>
          <c:order val="2"/>
          <c:tx>
            <c:strRef>
              <c:f>'Income Statement'!$G$77</c:f>
              <c:strCache>
                <c:ptCount val="1"/>
                <c:pt idx="0">
                  <c:v>Gold Coast</c:v>
                </c:pt>
              </c:strCache>
            </c:strRef>
          </c:tx>
          <c:spPr>
            <a:solidFill>
              <a:schemeClr val="accent5">
                <a:tint val="86000"/>
              </a:schemeClr>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'Income Statement'!$F$75:$H$75</c:f>
              <c:numCache>
                <c:formatCode>General</c:formatCode>
                <c:ptCount val="3"/>
                <c:pt idx="0">
                  <c:v>2019</c:v>
                </c:pt>
              </c:numCache>
            </c:numRef>
          </c:cat>
          <c:val>
            <c:numRef>
              <c:f>'Income Statement'!$G$90</c:f>
              <c:numCache>
                <c:formatCode>#,##0.0%;[Red]\-#,##0.0%</c:formatCode>
                <c:ptCount val="1"/>
                <c:pt idx="0">
                  <c:v>0.19835154009501091</c:v>
                </c:pt>
              </c:numCache>
            </c:numRef>
          </c:val>
          <c:extLst>
            <c:ext xmlns:c16="http://schemas.microsoft.com/office/drawing/2014/chart" uri="{C3380CC4-5D6E-409C-BE32-E72D297353CC}">
              <c16:uniqueId val="{00000003-34F4-4F7B-B466-4CBC8B6271B1}"/>
            </c:ext>
          </c:extLst>
        </c:ser>
        <c:ser>
          <c:idx val="3"/>
          <c:order val="3"/>
          <c:tx>
            <c:strRef>
              <c:f>'Income Statement'!$H$77</c:f>
              <c:strCache>
                <c:ptCount val="1"/>
                <c:pt idx="0">
                  <c:v>Townsville</c:v>
                </c:pt>
              </c:strCache>
            </c:strRef>
          </c:tx>
          <c:spPr>
            <a:solidFill>
              <a:schemeClr val="accent5">
                <a:tint val="58000"/>
              </a:schemeClr>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'Income Statement'!$F$75:$H$75</c:f>
              <c:numCache>
                <c:formatCode>General</c:formatCode>
                <c:ptCount val="3"/>
                <c:pt idx="0">
                  <c:v>2019</c:v>
                </c:pt>
              </c:numCache>
            </c:numRef>
          </c:cat>
          <c:val>
            <c:numRef>
              <c:f>'Income Statement'!$H$90</c:f>
              <c:numCache>
                <c:formatCode>#,##0.0%;[Red]\-#,##0.0%</c:formatCode>
                <c:ptCount val="1"/>
                <c:pt idx="0">
                  <c:v>0.1545851070174101</c:v>
                </c:pt>
              </c:numCache>
            </c:numRef>
          </c:val>
          <c:extLst>
            <c:ext xmlns:c16="http://schemas.microsoft.com/office/drawing/2014/chart" uri="{C3380CC4-5D6E-409C-BE32-E72D297353CC}">
              <c16:uniqueId val="{00000004-34F4-4F7B-B466-4CBC8B6271B1}"/>
            </c:ext>
          </c:extLst>
        </c:ser>
        <c:dLbls>
          <c:dLblPos val="ctr"/>
          <c:showLegendKey val="0"/>
          <c:showVal val="1"/>
          <c:showCatName val="0"/>
          <c:showSerName val="0"/>
          <c:showPercent val="0"/>
          <c:showBubbleSize val="0"/>
        </c:dLbls>
        <c:gapWidth val="150"/>
        <c:overlap val="100"/>
        <c:axId val="135241023"/>
        <c:axId val="135241439"/>
      </c:barChart>
      <c:catAx>
        <c:axId val="135241023"/>
        <c:scaling>
          <c:orientation val="minMax"/>
        </c:scaling>
        <c:delete val="1"/>
        <c:axPos val="b"/>
        <c:numFmt formatCode="General" sourceLinked="1"/>
        <c:majorTickMark val="out"/>
        <c:minorTickMark val="none"/>
        <c:tickLblPos val="nextTo"/>
        <c:crossAx val="135241439"/>
        <c:crosses val="autoZero"/>
        <c:auto val="0"/>
        <c:lblAlgn val="ctr"/>
        <c:lblOffset val="100"/>
        <c:noMultiLvlLbl val="0"/>
      </c:catAx>
      <c:valAx>
        <c:axId val="135241439"/>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Red]\-#,##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2410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5">
          <a:lumMod val="50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1"/>
    <c:plotArea>
      <c:layout/>
      <c:barChart>
        <c:barDir val="col"/>
        <c:grouping val="clustered"/>
        <c:varyColors val="0"/>
        <c:ser>
          <c:idx val="1"/>
          <c:order val="0"/>
          <c:tx>
            <c:strRef>
              <c:f>'Income Statement'!$B$91</c:f>
              <c:strCache>
                <c:ptCount val="1"/>
                <c:pt idx="0">
                  <c:v>Gross Profit Margin</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'Income Statement'!$E$77:$H$77</c:f>
              <c:strCache>
                <c:ptCount val="4"/>
                <c:pt idx="0">
                  <c:v>Brisbane</c:v>
                </c:pt>
                <c:pt idx="1">
                  <c:v>Cairns</c:v>
                </c:pt>
                <c:pt idx="2">
                  <c:v>Gold Coast</c:v>
                </c:pt>
                <c:pt idx="3">
                  <c:v>Townsville</c:v>
                </c:pt>
              </c:strCache>
            </c:strRef>
          </c:cat>
          <c:val>
            <c:numRef>
              <c:f>'Income Statement'!$E$91:$H$91</c:f>
              <c:numCache>
                <c:formatCode>#,##0.0%;[Red]\-#,##0.0%</c:formatCode>
                <c:ptCount val="4"/>
                <c:pt idx="0">
                  <c:v>0.23665854956230292</c:v>
                </c:pt>
                <c:pt idx="1">
                  <c:v>0.23976239661717216</c:v>
                </c:pt>
                <c:pt idx="2">
                  <c:v>0.23651171059064041</c:v>
                </c:pt>
                <c:pt idx="3">
                  <c:v>0.2369281405971676</c:v>
                </c:pt>
              </c:numCache>
            </c:numRef>
          </c:val>
          <c:extLst>
            <c:ext xmlns:c16="http://schemas.microsoft.com/office/drawing/2014/chart" uri="{C3380CC4-5D6E-409C-BE32-E72D297353CC}">
              <c16:uniqueId val="{00000001-1940-4ABF-B9FD-1BB607B5C8A3}"/>
            </c:ext>
          </c:extLst>
        </c:ser>
        <c:ser>
          <c:idx val="2"/>
          <c:order val="1"/>
          <c:tx>
            <c:strRef>
              <c:f>'Income Statement'!$B$92</c:f>
              <c:strCache>
                <c:ptCount val="1"/>
                <c:pt idx="0">
                  <c:v>Net Profit Margin</c:v>
                </c:pt>
              </c:strCache>
            </c:strRef>
          </c:tx>
          <c:spPr>
            <a:solidFill>
              <a:schemeClr val="accent5">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'Income Statement'!$E$77:$H$77</c:f>
              <c:strCache>
                <c:ptCount val="4"/>
                <c:pt idx="0">
                  <c:v>Brisbane</c:v>
                </c:pt>
                <c:pt idx="1">
                  <c:v>Cairns</c:v>
                </c:pt>
                <c:pt idx="2">
                  <c:v>Gold Coast</c:v>
                </c:pt>
                <c:pt idx="3">
                  <c:v>Townsville</c:v>
                </c:pt>
              </c:strCache>
            </c:strRef>
          </c:cat>
          <c:val>
            <c:numRef>
              <c:f>'Income Statement'!$E$92:$H$92</c:f>
              <c:numCache>
                <c:formatCode>#,##0.0%;[Red]\-#,##0.0%</c:formatCode>
                <c:ptCount val="4"/>
                <c:pt idx="0">
                  <c:v>4.3362010464798921E-2</c:v>
                </c:pt>
                <c:pt idx="1">
                  <c:v>6.8963201058003756E-2</c:v>
                </c:pt>
                <c:pt idx="2">
                  <c:v>2.9193646949024502E-2</c:v>
                </c:pt>
                <c:pt idx="3">
                  <c:v>3.6115324244722316E-2</c:v>
                </c:pt>
              </c:numCache>
            </c:numRef>
          </c:val>
          <c:extLst>
            <c:ext xmlns:c16="http://schemas.microsoft.com/office/drawing/2014/chart" uri="{C3380CC4-5D6E-409C-BE32-E72D297353CC}">
              <c16:uniqueId val="{00000002-1940-4ABF-B9FD-1BB607B5C8A3}"/>
            </c:ext>
          </c:extLst>
        </c:ser>
        <c:dLbls>
          <c:showLegendKey val="0"/>
          <c:showVal val="0"/>
          <c:showCatName val="0"/>
          <c:showSerName val="0"/>
          <c:showPercent val="0"/>
          <c:showBubbleSize val="0"/>
        </c:dLbls>
        <c:gapWidth val="219"/>
        <c:overlap val="-27"/>
        <c:axId val="653691464"/>
        <c:axId val="653695072"/>
      </c:barChart>
      <c:catAx>
        <c:axId val="653691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3695072"/>
        <c:crosses val="autoZero"/>
        <c:auto val="1"/>
        <c:lblAlgn val="ctr"/>
        <c:lblOffset val="100"/>
        <c:noMultiLvlLbl val="0"/>
      </c:catAx>
      <c:valAx>
        <c:axId val="653695072"/>
        <c:scaling>
          <c:orientation val="minMax"/>
        </c:scaling>
        <c:delete val="1"/>
        <c:axPos val="l"/>
        <c:majorGridlines>
          <c:spPr>
            <a:ln w="9525" cap="flat" cmpd="sng" algn="ctr">
              <a:solidFill>
                <a:schemeClr val="tx1">
                  <a:lumMod val="15000"/>
                  <a:lumOff val="85000"/>
                </a:schemeClr>
              </a:solidFill>
              <a:round/>
            </a:ln>
            <a:effectLst/>
          </c:spPr>
        </c:majorGridlines>
        <c:numFmt formatCode="#,##0.0%;[Red]\-#,##0.0%" sourceLinked="1"/>
        <c:majorTickMark val="none"/>
        <c:minorTickMark val="none"/>
        <c:tickLblPos val="nextTo"/>
        <c:crossAx val="653691464"/>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accent5">
          <a:lumMod val="50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[NguyenThiHongNgoc_submit.xlsx]Product Dashboard Design Space!PivotTable1</c:name>
    <c:fmtId val="9"/>
  </c:pivotSource>
  <c:chart>
    <c:autoTitleDeleted val="1"/>
    <c:pivotFmts>
      <c:pivotFmt>
        <c:idx val="0"/>
        <c:spPr>
          <a:solidFill>
            <a:schemeClr val="accent5"/>
          </a:solidFill>
          <a:ln>
            <a:noFill/>
          </a:ln>
          <a:effectLst/>
        </c:spPr>
        <c:marker>
          <c:symbol val="diamond"/>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diamond"/>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solidFill>
          <a:ln w="28575" cap="rnd">
            <a:solidFill>
              <a:schemeClr val="accent5"/>
            </a:solidFill>
            <a:round/>
          </a:ln>
          <a:effectLst/>
        </c:spPr>
        <c:marker>
          <c:symbol val="diamond"/>
          <c:size val="5"/>
          <c:spPr>
            <a:solidFill>
              <a:schemeClr val="accent5">
                <a:shade val="76000"/>
              </a:schemeClr>
            </a:solidFill>
            <a:ln w="9525">
              <a:solidFill>
                <a:schemeClr val="accent5">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solidFill>
          <a:ln w="28575" cap="rnd">
            <a:solidFill>
              <a:schemeClr val="accent5"/>
            </a:solidFill>
            <a:round/>
          </a:ln>
          <a:effectLst/>
        </c:spPr>
        <c:marker>
          <c:symbol val="circle"/>
          <c:size val="5"/>
          <c:spPr>
            <a:solidFill>
              <a:schemeClr val="accent5">
                <a:tint val="77000"/>
              </a:schemeClr>
            </a:solidFill>
            <a:ln w="9525">
              <a:solidFill>
                <a:schemeClr val="accent5">
                  <a:tint val="7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solidFill>
          <a:ln w="28575" cap="rnd">
            <a:solidFill>
              <a:schemeClr val="accent5"/>
            </a:solidFill>
            <a:round/>
          </a:ln>
          <a:effectLst/>
        </c:spPr>
        <c:marker>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5"/>
            </a:solidFill>
            <a:round/>
          </a:ln>
          <a:effectLst/>
        </c:spPr>
        <c:marker>
          <c:symbol val="circle"/>
          <c:size val="5"/>
          <c:spPr>
            <a:solidFill>
              <a:schemeClr val="accent5"/>
            </a:solidFill>
            <a:ln w="9525">
              <a:solidFill>
                <a:schemeClr val="accent5"/>
              </a:solidFill>
            </a:ln>
            <a:effectLst/>
          </c:spPr>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5"/>
            </a:solidFill>
            <a:round/>
          </a:ln>
          <a:effectLst/>
        </c:spPr>
        <c:marker>
          <c:symbol val="circle"/>
          <c:size val="5"/>
          <c:spPr>
            <a:solidFill>
              <a:schemeClr val="accent5"/>
            </a:solidFill>
            <a:ln w="9525">
              <a:solidFill>
                <a:schemeClr val="accent5"/>
              </a:solidFill>
            </a:ln>
            <a:effectLst/>
          </c:spPr>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eparator>, </c:separator>
          <c:extLst>
            <c:ext xmlns:c15="http://schemas.microsoft.com/office/drawing/2012/chart" uri="{CE6537A1-D6FC-4f65-9D91-7224C49458BB}"/>
          </c:extLst>
        </c:dLbl>
      </c:pivotFmt>
      <c:pivotFmt>
        <c:idx val="9"/>
        <c:spPr>
          <a:ln w="28575" cap="rnd">
            <a:solidFill>
              <a:schemeClr val="accent5"/>
            </a:solidFill>
            <a:round/>
          </a:ln>
          <a:effectLst/>
        </c:spPr>
        <c:marker>
          <c:symbol val="circle"/>
          <c:size val="5"/>
          <c:spPr>
            <a:solidFill>
              <a:schemeClr val="accent5"/>
            </a:solidFill>
            <a:ln w="9525">
              <a:solidFill>
                <a:schemeClr val="accent5"/>
              </a:solidFill>
            </a:ln>
            <a:effectLst/>
          </c:spPr>
        </c:marker>
      </c:pivotFmt>
    </c:pivotFmts>
    <c:plotArea>
      <c:layout/>
      <c:lineChart>
        <c:grouping val="stacked"/>
        <c:varyColors val="0"/>
        <c:ser>
          <c:idx val="0"/>
          <c:order val="0"/>
          <c:tx>
            <c:strRef>
              <c:f>'Product Dashboard Design Space'!$B$1</c:f>
              <c:strCache>
                <c:ptCount val="1"/>
                <c:pt idx="0">
                  <c:v>Total</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Pt>
            <c:idx val="0"/>
            <c:marker>
              <c:symbol val="circle"/>
              <c:size val="5"/>
              <c:spPr>
                <a:solidFill>
                  <a:schemeClr val="accent5"/>
                </a:solidFill>
                <a:ln w="9525">
                  <a:solidFill>
                    <a:schemeClr val="accent5"/>
                  </a:solidFill>
                </a:ln>
                <a:effectLst/>
              </c:spPr>
            </c:marker>
            <c:bubble3D val="0"/>
            <c:spPr>
              <a:ln w="28575" cap="rnd">
                <a:solidFill>
                  <a:schemeClr val="accent5"/>
                </a:solidFill>
                <a:round/>
              </a:ln>
              <a:effectLst/>
            </c:spPr>
            <c:extLst>
              <c:ext xmlns:c16="http://schemas.microsoft.com/office/drawing/2014/chart" uri="{C3380CC4-5D6E-409C-BE32-E72D297353CC}">
                <c16:uniqueId val="{00000003-617A-4129-BE17-83A64742C664}"/>
              </c:ext>
            </c:extLst>
          </c:dPt>
          <c:dLbls>
            <c:dLbl>
              <c:idx val="0"/>
              <c:dLblPos val="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3-617A-4129-BE17-83A64742C664}"/>
                </c:ext>
              </c:extLst>
            </c:dLbl>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Dashboard Design Space'!$A$2:$A$5</c:f>
              <c:strCache>
                <c:ptCount val="3"/>
                <c:pt idx="0">
                  <c:v>2019</c:v>
                </c:pt>
                <c:pt idx="1">
                  <c:v>2020</c:v>
                </c:pt>
                <c:pt idx="2">
                  <c:v>2021</c:v>
                </c:pt>
              </c:strCache>
            </c:strRef>
          </c:cat>
          <c:val>
            <c:numRef>
              <c:f>'Product Dashboard Design Space'!$B$2:$B$5</c:f>
              <c:numCache>
                <c:formatCode>General</c:formatCode>
                <c:ptCount val="3"/>
                <c:pt idx="0">
                  <c:v>541305</c:v>
                </c:pt>
                <c:pt idx="1">
                  <c:v>620030</c:v>
                </c:pt>
                <c:pt idx="2">
                  <c:v>743935</c:v>
                </c:pt>
              </c:numCache>
            </c:numRef>
          </c:val>
          <c:smooth val="0"/>
          <c:extLst>
            <c:ext xmlns:c16="http://schemas.microsoft.com/office/drawing/2014/chart" uri="{C3380CC4-5D6E-409C-BE32-E72D297353CC}">
              <c16:uniqueId val="{00000000-32F3-4D2F-B03E-16CF4D60EDE4}"/>
            </c:ext>
          </c:extLst>
        </c:ser>
        <c:dLbls>
          <c:dLblPos val="t"/>
          <c:showLegendKey val="0"/>
          <c:showVal val="1"/>
          <c:showCatName val="0"/>
          <c:showSerName val="0"/>
          <c:showPercent val="0"/>
          <c:showBubbleSize val="0"/>
        </c:dLbls>
        <c:marker val="1"/>
        <c:smooth val="0"/>
        <c:axId val="135235199"/>
        <c:axId val="135222719"/>
      </c:lineChart>
      <c:catAx>
        <c:axId val="135235199"/>
        <c:scaling>
          <c:orientation val="minMax"/>
        </c:scaling>
        <c:delete val="0"/>
        <c:axPos val="b"/>
        <c:minorGridlines>
          <c:spPr>
            <a:ln w="9525" cap="flat" cmpd="sng" algn="ctr">
              <a:solidFill>
                <a:schemeClr val="tx1">
                  <a:lumMod val="5000"/>
                  <a:lumOff val="95000"/>
                </a:schemeClr>
              </a:solidFill>
              <a:round/>
            </a:ln>
            <a:effectLst/>
          </c:spPr>
        </c:minorGridlines>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222719"/>
        <c:crosses val="autoZero"/>
        <c:auto val="1"/>
        <c:lblAlgn val="ctr"/>
        <c:lblOffset val="100"/>
        <c:noMultiLvlLbl val="0"/>
      </c:catAx>
      <c:valAx>
        <c:axId val="135222719"/>
        <c:scaling>
          <c:orientation val="minMax"/>
        </c:scaling>
        <c:delete val="1"/>
        <c:axPos val="l"/>
        <c:numFmt formatCode="General" sourceLinked="1"/>
        <c:majorTickMark val="out"/>
        <c:minorTickMark val="none"/>
        <c:tickLblPos val="nextTo"/>
        <c:crossAx val="135235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5">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[NguyenThiHongNgoc_submit.xlsx]Product Dashboard Design Space!PivotTable14</c:name>
    <c:fmtId val="5"/>
  </c:pivotSource>
  <c:chart>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6252983293556086E-2"/>
          <c:y val="9.0163934426229511E-2"/>
          <c:w val="0.94749403341288785"/>
          <c:h val="0.60552988253517503"/>
        </c:manualLayout>
      </c:layout>
      <c:barChart>
        <c:barDir val="col"/>
        <c:grouping val="clustered"/>
        <c:varyColors val="0"/>
        <c:ser>
          <c:idx val="0"/>
          <c:order val="0"/>
          <c:tx>
            <c:strRef>
              <c:f>'Product Dashboard Design Space'!$B$11:$B$12</c:f>
              <c:strCache>
                <c:ptCount val="1"/>
                <c:pt idx="0">
                  <c:v>Computers and Tablets</c:v>
                </c:pt>
              </c:strCache>
            </c:strRef>
          </c:tx>
          <c:spPr>
            <a:solidFill>
              <a:schemeClr val="accent5">
                <a:tint val="48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Dashboard Design Space'!$A$13</c:f>
              <c:strCache>
                <c:ptCount val="1"/>
                <c:pt idx="0">
                  <c:v>Total</c:v>
                </c:pt>
              </c:strCache>
            </c:strRef>
          </c:cat>
          <c:val>
            <c:numRef>
              <c:f>'Product Dashboard Design Space'!$B$13</c:f>
              <c:numCache>
                <c:formatCode>_("$"* #,##0_);_("$"* \(#,##0\);_("$"* "-"??_);_(@_)</c:formatCode>
                <c:ptCount val="1"/>
                <c:pt idx="0">
                  <c:v>88730</c:v>
                </c:pt>
              </c:numCache>
            </c:numRef>
          </c:val>
          <c:extLst>
            <c:ext xmlns:c16="http://schemas.microsoft.com/office/drawing/2014/chart" uri="{C3380CC4-5D6E-409C-BE32-E72D297353CC}">
              <c16:uniqueId val="{00000000-2ECB-460C-B890-831D5465CBD3}"/>
            </c:ext>
          </c:extLst>
        </c:ser>
        <c:ser>
          <c:idx val="1"/>
          <c:order val="1"/>
          <c:tx>
            <c:strRef>
              <c:f>'Product Dashboard Design Space'!$C$11:$C$12</c:f>
              <c:strCache>
                <c:ptCount val="1"/>
                <c:pt idx="0">
                  <c:v>Fridges</c:v>
                </c:pt>
              </c:strCache>
            </c:strRef>
          </c:tx>
          <c:spPr>
            <a:solidFill>
              <a:schemeClr val="accent5">
                <a:tint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Dashboard Design Space'!$A$13</c:f>
              <c:strCache>
                <c:ptCount val="1"/>
                <c:pt idx="0">
                  <c:v>Total</c:v>
                </c:pt>
              </c:strCache>
            </c:strRef>
          </c:cat>
          <c:val>
            <c:numRef>
              <c:f>'Product Dashboard Design Space'!$C$13</c:f>
              <c:numCache>
                <c:formatCode>_("$"* #,##0_);_("$"* \(#,##0\);_("$"* "-"??_);_(@_)</c:formatCode>
                <c:ptCount val="1"/>
                <c:pt idx="0">
                  <c:v>202800</c:v>
                </c:pt>
              </c:numCache>
            </c:numRef>
          </c:val>
          <c:extLst>
            <c:ext xmlns:c16="http://schemas.microsoft.com/office/drawing/2014/chart" uri="{C3380CC4-5D6E-409C-BE32-E72D297353CC}">
              <c16:uniqueId val="{00000001-E0CA-4FDC-95A7-BA620A43A51D}"/>
            </c:ext>
          </c:extLst>
        </c:ser>
        <c:ser>
          <c:idx val="2"/>
          <c:order val="2"/>
          <c:tx>
            <c:strRef>
              <c:f>'Product Dashboard Design Space'!$D$11:$D$12</c:f>
              <c:strCache>
                <c:ptCount val="1"/>
                <c:pt idx="0">
                  <c:v>Games and Consoles</c:v>
                </c:pt>
              </c:strCache>
            </c:strRef>
          </c:tx>
          <c:spPr>
            <a:solidFill>
              <a:schemeClr val="accent5">
                <a:tint val="8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Dashboard Design Space'!$A$13</c:f>
              <c:strCache>
                <c:ptCount val="1"/>
                <c:pt idx="0">
                  <c:v>Total</c:v>
                </c:pt>
              </c:strCache>
            </c:strRef>
          </c:cat>
          <c:val>
            <c:numRef>
              <c:f>'Product Dashboard Design Space'!$D$13</c:f>
              <c:numCache>
                <c:formatCode>_("$"* #,##0_);_("$"* \(#,##0\);_("$"* "-"??_);_(@_)</c:formatCode>
                <c:ptCount val="1"/>
                <c:pt idx="0">
                  <c:v>188580</c:v>
                </c:pt>
              </c:numCache>
            </c:numRef>
          </c:val>
          <c:extLst>
            <c:ext xmlns:c16="http://schemas.microsoft.com/office/drawing/2014/chart" uri="{C3380CC4-5D6E-409C-BE32-E72D297353CC}">
              <c16:uniqueId val="{00000002-E0CA-4FDC-95A7-BA620A43A51D}"/>
            </c:ext>
          </c:extLst>
        </c:ser>
        <c:ser>
          <c:idx val="3"/>
          <c:order val="3"/>
          <c:tx>
            <c:strRef>
              <c:f>'Product Dashboard Design Space'!$E$11:$E$12</c:f>
              <c:strCache>
                <c:ptCount val="1"/>
                <c:pt idx="0">
                  <c:v>Microwaves</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Dashboard Design Space'!$A$13</c:f>
              <c:strCache>
                <c:ptCount val="1"/>
                <c:pt idx="0">
                  <c:v>Total</c:v>
                </c:pt>
              </c:strCache>
            </c:strRef>
          </c:cat>
          <c:val>
            <c:numRef>
              <c:f>'Product Dashboard Design Space'!$E$13</c:f>
              <c:numCache>
                <c:formatCode>_("$"* #,##0_);_("$"* \(#,##0\);_("$"* "-"??_);_(@_)</c:formatCode>
                <c:ptCount val="1"/>
                <c:pt idx="0">
                  <c:v>172900</c:v>
                </c:pt>
              </c:numCache>
            </c:numRef>
          </c:val>
          <c:extLst>
            <c:ext xmlns:c16="http://schemas.microsoft.com/office/drawing/2014/chart" uri="{C3380CC4-5D6E-409C-BE32-E72D297353CC}">
              <c16:uniqueId val="{00000003-E0CA-4FDC-95A7-BA620A43A51D}"/>
            </c:ext>
          </c:extLst>
        </c:ser>
        <c:ser>
          <c:idx val="4"/>
          <c:order val="4"/>
          <c:tx>
            <c:strRef>
              <c:f>'Product Dashboard Design Space'!$F$11:$F$12</c:f>
              <c:strCache>
                <c:ptCount val="1"/>
                <c:pt idx="0">
                  <c:v>Mobile Phones</c:v>
                </c:pt>
              </c:strCache>
            </c:strRef>
          </c:tx>
          <c:spPr>
            <a:solidFill>
              <a:schemeClr val="accent5">
                <a:shade val="8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Dashboard Design Space'!$A$13</c:f>
              <c:strCache>
                <c:ptCount val="1"/>
                <c:pt idx="0">
                  <c:v>Total</c:v>
                </c:pt>
              </c:strCache>
            </c:strRef>
          </c:cat>
          <c:val>
            <c:numRef>
              <c:f>'Product Dashboard Design Space'!$F$13</c:f>
              <c:numCache>
                <c:formatCode>_("$"* #,##0_);_("$"* \(#,##0\);_("$"* "-"??_);_(@_)</c:formatCode>
                <c:ptCount val="1"/>
                <c:pt idx="0">
                  <c:v>392860</c:v>
                </c:pt>
              </c:numCache>
            </c:numRef>
          </c:val>
          <c:extLst>
            <c:ext xmlns:c16="http://schemas.microsoft.com/office/drawing/2014/chart" uri="{C3380CC4-5D6E-409C-BE32-E72D297353CC}">
              <c16:uniqueId val="{00000004-E0CA-4FDC-95A7-BA620A43A51D}"/>
            </c:ext>
          </c:extLst>
        </c:ser>
        <c:ser>
          <c:idx val="5"/>
          <c:order val="5"/>
          <c:tx>
            <c:strRef>
              <c:f>'Product Dashboard Design Space'!$G$11:$G$12</c:f>
              <c:strCache>
                <c:ptCount val="1"/>
                <c:pt idx="0">
                  <c:v>TVs</c:v>
                </c:pt>
              </c:strCache>
            </c:strRef>
          </c:tx>
          <c:spPr>
            <a:solidFill>
              <a:schemeClr val="accent5">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Dashboard Design Space'!$A$13</c:f>
              <c:strCache>
                <c:ptCount val="1"/>
                <c:pt idx="0">
                  <c:v>Total</c:v>
                </c:pt>
              </c:strCache>
            </c:strRef>
          </c:cat>
          <c:val>
            <c:numRef>
              <c:f>'Product Dashboard Design Space'!$G$13</c:f>
              <c:numCache>
                <c:formatCode>_("$"* #,##0_);_("$"* \(#,##0\);_("$"* "-"??_);_(@_)</c:formatCode>
                <c:ptCount val="1"/>
                <c:pt idx="0">
                  <c:v>209580</c:v>
                </c:pt>
              </c:numCache>
            </c:numRef>
          </c:val>
          <c:extLst>
            <c:ext xmlns:c16="http://schemas.microsoft.com/office/drawing/2014/chart" uri="{C3380CC4-5D6E-409C-BE32-E72D297353CC}">
              <c16:uniqueId val="{00000005-E0CA-4FDC-95A7-BA620A43A51D}"/>
            </c:ext>
          </c:extLst>
        </c:ser>
        <c:ser>
          <c:idx val="6"/>
          <c:order val="6"/>
          <c:tx>
            <c:strRef>
              <c:f>'Product Dashboard Design Space'!$H$11:$H$12</c:f>
              <c:strCache>
                <c:ptCount val="1"/>
                <c:pt idx="0">
                  <c:v>Washing Machines</c:v>
                </c:pt>
              </c:strCache>
            </c:strRef>
          </c:tx>
          <c:spPr>
            <a:solidFill>
              <a:schemeClr val="accent5">
                <a:shade val="47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Dashboard Design Space'!$A$13</c:f>
              <c:strCache>
                <c:ptCount val="1"/>
                <c:pt idx="0">
                  <c:v>Total</c:v>
                </c:pt>
              </c:strCache>
            </c:strRef>
          </c:cat>
          <c:val>
            <c:numRef>
              <c:f>'Product Dashboard Design Space'!$H$13</c:f>
              <c:numCache>
                <c:formatCode>_("$"* #,##0_);_("$"* \(#,##0\);_("$"* "-"??_);_(@_)</c:formatCode>
                <c:ptCount val="1"/>
                <c:pt idx="0">
                  <c:v>176640</c:v>
                </c:pt>
              </c:numCache>
            </c:numRef>
          </c:val>
          <c:extLst>
            <c:ext xmlns:c16="http://schemas.microsoft.com/office/drawing/2014/chart" uri="{C3380CC4-5D6E-409C-BE32-E72D297353CC}">
              <c16:uniqueId val="{00000006-E0CA-4FDC-95A7-BA620A43A51D}"/>
            </c:ext>
          </c:extLst>
        </c:ser>
        <c:dLbls>
          <c:dLblPos val="outEnd"/>
          <c:showLegendKey val="0"/>
          <c:showVal val="1"/>
          <c:showCatName val="0"/>
          <c:showSerName val="0"/>
          <c:showPercent val="0"/>
          <c:showBubbleSize val="0"/>
        </c:dLbls>
        <c:gapWidth val="285"/>
        <c:overlap val="-2"/>
        <c:axId val="135251423"/>
        <c:axId val="135259327"/>
      </c:barChart>
      <c:catAx>
        <c:axId val="135251423"/>
        <c:scaling>
          <c:orientation val="minMax"/>
        </c:scaling>
        <c:delete val="1"/>
        <c:axPos val="b"/>
        <c:numFmt formatCode="General" sourceLinked="1"/>
        <c:majorTickMark val="none"/>
        <c:minorTickMark val="none"/>
        <c:tickLblPos val="nextTo"/>
        <c:crossAx val="135259327"/>
        <c:crosses val="autoZero"/>
        <c:auto val="1"/>
        <c:lblAlgn val="ctr"/>
        <c:lblOffset val="100"/>
        <c:noMultiLvlLbl val="0"/>
      </c:catAx>
      <c:valAx>
        <c:axId val="135259327"/>
        <c:scaling>
          <c:orientation val="minMax"/>
        </c:scaling>
        <c:delete val="1"/>
        <c:axPos val="l"/>
        <c:numFmt formatCode="_(&quot;$&quot;* #,##0_);_(&quot;$&quot;* \(#,##0\);_(&quot;$&quot;* &quot;-&quot;??_);_(@_)" sourceLinked="1"/>
        <c:majorTickMark val="none"/>
        <c:minorTickMark val="none"/>
        <c:tickLblPos val="nextTo"/>
        <c:crossAx val="135251423"/>
        <c:crosses val="autoZero"/>
        <c:crossBetween val="between"/>
      </c:valAx>
      <c:spPr>
        <a:noFill/>
        <a:ln w="25400">
          <a:noFill/>
        </a:ln>
        <a:effectLst/>
      </c:spPr>
    </c:plotArea>
    <c:legend>
      <c:legendPos val="b"/>
      <c:layout>
        <c:manualLayout>
          <c:xMode val="edge"/>
          <c:yMode val="edge"/>
          <c:x val="1.1043541991618593E-2"/>
          <c:y val="0.67930037433845358"/>
          <c:w val="0.683291482306563"/>
          <c:h val="0.1896080686543395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5">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[NguyenThiHongNgoc_submit.xlsx]Product Dashboard Design Space!PivotTable13</c:name>
    <c:fmtId val="6"/>
  </c:pivotSource>
  <c:chart>
    <c:autoTitleDeleted val="0"/>
    <c:pivotFmts>
      <c:pivotFmt>
        <c:idx val="0"/>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dash"/>
          <c:size val="50"/>
        </c:marker>
      </c:pivotFmt>
      <c:pivotFmt>
        <c:idx val="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5"/>
          </a:solidFill>
          <a:ln>
            <a:noFill/>
          </a:ln>
          <a:effectLst/>
        </c:spPr>
        <c:marker>
          <c:symbol val="dash"/>
          <c:size val="50"/>
          <c:spPr>
            <a:solidFill>
              <a:schemeClr val="accent5"/>
            </a:solidFill>
            <a:ln w="9525">
              <a:solidFill>
                <a:schemeClr val="accent5"/>
              </a:solidFill>
            </a:ln>
            <a:effectLst/>
          </c:spPr>
        </c:marker>
      </c:pivotFmt>
      <c:pivotFmt>
        <c:idx val="9"/>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solidFill>
          <a:ln w="28575" cap="rnd">
            <a:solidFill>
              <a:schemeClr val="accent5"/>
            </a:solidFill>
            <a:round/>
          </a:ln>
          <a:effectLst/>
        </c:spPr>
        <c:marker>
          <c:symbol val="circle"/>
          <c:size val="59"/>
          <c:spPr>
            <a:solidFill>
              <a:schemeClr val="accent5">
                <a:shade val="65000"/>
              </a:schemeClr>
            </a:solidFill>
            <a:ln w="9525">
              <a:solidFill>
                <a:schemeClr val="accent5">
                  <a:shade val="6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5"/>
          </a:solidFill>
          <a:ln w="28575" cap="rnd">
            <a:noFill/>
            <a:round/>
          </a:ln>
          <a:effectLst/>
        </c:spPr>
        <c:marker>
          <c:symbol val="dash"/>
          <c:size val="59"/>
          <c:spPr>
            <a:solidFill>
              <a:schemeClr val="accent5">
                <a:shade val="65000"/>
              </a:schemeClr>
            </a:solidFill>
            <a:ln w="9525">
              <a:solidFill>
                <a:schemeClr val="accent5">
                  <a:shade val="65000"/>
                </a:schemeClr>
              </a:solidFill>
            </a:ln>
            <a:effectLst/>
          </c:spPr>
        </c:marker>
        <c:dLbl>
          <c:idx val="0"/>
          <c:spPr>
            <a:noFill/>
            <a:ln>
              <a:noFill/>
            </a:ln>
            <a:effectLst/>
          </c:spPr>
          <c:txPr>
            <a:bodyPr rot="0" spcFirstLastPara="1" vertOverflow="ellipsis" horzOverflow="clip"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3"/>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5"/>
          </a:solidFill>
          <a:ln w="28575" cap="rnd">
            <a:solidFill>
              <a:schemeClr val="accent5"/>
            </a:solidFill>
            <a:round/>
          </a:ln>
          <a:effectLst/>
        </c:spPr>
        <c:marker>
          <c:symbol val="circle"/>
          <c:size val="59"/>
          <c:spPr>
            <a:solidFill>
              <a:schemeClr val="accent5">
                <a:shade val="65000"/>
              </a:schemeClr>
            </a:solidFill>
            <a:ln w="9525">
              <a:solidFill>
                <a:schemeClr val="accent5">
                  <a:shade val="6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solidFill>
          <a:ln w="28575" cap="rnd">
            <a:noFill/>
            <a:round/>
          </a:ln>
          <a:effectLst/>
        </c:spPr>
        <c:marker>
          <c:symbol val="dash"/>
          <c:size val="59"/>
          <c:spPr>
            <a:solidFill>
              <a:schemeClr val="accent5">
                <a:shade val="65000"/>
              </a:schemeClr>
            </a:solidFill>
            <a:ln w="9525">
              <a:solidFill>
                <a:schemeClr val="accent5">
                  <a:shade val="65000"/>
                </a:schemeClr>
              </a:solidFill>
            </a:ln>
            <a:effectLst/>
          </c:spPr>
        </c:marker>
        <c:dLbl>
          <c:idx val="0"/>
          <c:spPr>
            <a:noFill/>
            <a:ln>
              <a:noFill/>
            </a:ln>
            <a:effectLst/>
          </c:spPr>
          <c:txPr>
            <a:bodyPr rot="0" spcFirstLastPara="1" vertOverflow="ellipsis" horzOverflow="clip"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7"/>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solidFill>
          <a:ln w="28575" cap="rnd">
            <a:solidFill>
              <a:schemeClr val="accent5"/>
            </a:solidFill>
            <a:round/>
          </a:ln>
          <a:effectLst/>
        </c:spPr>
        <c:marker>
          <c:symbol val="circle"/>
          <c:size val="59"/>
          <c:spPr>
            <a:solidFill>
              <a:schemeClr val="accent5">
                <a:shade val="65000"/>
              </a:schemeClr>
            </a:solidFill>
            <a:ln w="9525">
              <a:solidFill>
                <a:schemeClr val="accent5">
                  <a:shade val="6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5"/>
          </a:solidFill>
          <a:ln w="28575" cap="rnd">
            <a:noFill/>
            <a:round/>
          </a:ln>
          <a:effectLst/>
        </c:spPr>
        <c:marker>
          <c:symbol val="dash"/>
          <c:size val="59"/>
          <c:spPr>
            <a:solidFill>
              <a:schemeClr val="accent5">
                <a:shade val="65000"/>
              </a:schemeClr>
            </a:solidFill>
            <a:ln w="9525">
              <a:solidFill>
                <a:schemeClr val="accent5">
                  <a:shade val="65000"/>
                </a:schemeClr>
              </a:solidFill>
            </a:ln>
            <a:effectLst/>
          </c:spPr>
        </c:marker>
        <c:dLbl>
          <c:idx val="0"/>
          <c:spPr>
            <a:noFill/>
            <a:ln>
              <a:noFill/>
            </a:ln>
            <a:effectLst/>
          </c:spPr>
          <c:txPr>
            <a:bodyPr rot="0" spcFirstLastPara="1" vertOverflow="ellipsis" horzOverflow="clip"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1"/>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5"/>
          </a:solidFill>
          <a:ln w="28575" cap="rnd">
            <a:solidFill>
              <a:schemeClr val="accent5"/>
            </a:solidFill>
            <a:round/>
          </a:ln>
          <a:effectLst/>
        </c:spPr>
        <c:marker>
          <c:symbol val="circle"/>
          <c:size val="59"/>
          <c:spPr>
            <a:solidFill>
              <a:schemeClr val="accent5">
                <a:shade val="65000"/>
              </a:schemeClr>
            </a:solidFill>
            <a:ln w="9525">
              <a:solidFill>
                <a:schemeClr val="accent5">
                  <a:shade val="6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5"/>
          </a:solidFill>
          <a:ln w="28575" cap="rnd">
            <a:noFill/>
            <a:round/>
          </a:ln>
          <a:effectLst/>
        </c:spPr>
        <c:marker>
          <c:symbol val="dash"/>
          <c:size val="59"/>
          <c:spPr>
            <a:solidFill>
              <a:schemeClr val="accent5">
                <a:shade val="65000"/>
              </a:schemeClr>
            </a:solidFill>
            <a:ln w="9525">
              <a:solidFill>
                <a:schemeClr val="accent5">
                  <a:shade val="65000"/>
                </a:schemeClr>
              </a:solidFill>
            </a:ln>
            <a:effectLst/>
          </c:spPr>
        </c:marker>
        <c:dLbl>
          <c:idx val="0"/>
          <c:spPr>
            <a:noFill/>
            <a:ln>
              <a:noFill/>
            </a:ln>
            <a:effectLst/>
          </c:spPr>
          <c:txPr>
            <a:bodyPr rot="0" spcFirstLastPara="1" vertOverflow="ellipsis" horzOverflow="clip"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5"/>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7"/>
        <c:spPr>
          <a:ln w="28575" cap="rnd">
            <a:solidFill>
              <a:schemeClr val="accent5"/>
            </a:solidFill>
            <a:round/>
          </a:ln>
          <a:effectLst/>
        </c:spPr>
        <c:marker>
          <c:symbol val="circle"/>
          <c:size val="59"/>
          <c:spPr>
            <a:solidFill>
              <a:schemeClr val="accent5">
                <a:shade val="65000"/>
              </a:schemeClr>
            </a:solidFill>
            <a:ln w="9525">
              <a:solidFill>
                <a:schemeClr val="accent5">
                  <a:shade val="6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8"/>
        <c:spPr>
          <a:ln w="28575" cap="rnd">
            <a:noFill/>
            <a:round/>
          </a:ln>
          <a:effectLst/>
        </c:spPr>
        <c:marker>
          <c:symbol val="dash"/>
          <c:size val="59"/>
          <c:spPr>
            <a:solidFill>
              <a:schemeClr val="accent5">
                <a:shade val="65000"/>
              </a:schemeClr>
            </a:solidFill>
            <a:ln w="9525">
              <a:solidFill>
                <a:schemeClr val="accent5">
                  <a:shade val="65000"/>
                </a:schemeClr>
              </a:solidFill>
            </a:ln>
            <a:effectLst/>
          </c:spPr>
        </c:marker>
      </c:pivotFmt>
      <c:pivotFmt>
        <c:idx val="29"/>
        <c:spPr>
          <a:solidFill>
            <a:schemeClr val="accent5">
              <a:tint val="65000"/>
            </a:schemeClr>
          </a:solidFill>
          <a:ln>
            <a:noFill/>
          </a:ln>
          <a:effectLst/>
        </c:spPr>
      </c:pivotFmt>
    </c:pivotFmts>
    <c:plotArea>
      <c:layout>
        <c:manualLayout>
          <c:layoutTarget val="inner"/>
          <c:xMode val="edge"/>
          <c:yMode val="edge"/>
          <c:x val="6.369426751592357E-3"/>
          <c:y val="8.3491461100569264E-2"/>
          <c:w val="0.96178343949044587"/>
          <c:h val="0.83301707779886147"/>
        </c:manualLayout>
      </c:layout>
      <c:barChart>
        <c:barDir val="col"/>
        <c:grouping val="clustered"/>
        <c:varyColors val="0"/>
        <c:ser>
          <c:idx val="1"/>
          <c:order val="1"/>
          <c:tx>
            <c:strRef>
              <c:f>'Product Dashboard Design Space'!$B$8</c:f>
              <c:strCache>
                <c:ptCount val="1"/>
                <c:pt idx="0">
                  <c:v>Sum of ACTUAL SALES</c:v>
                </c:pt>
              </c:strCache>
            </c:strRef>
          </c:tx>
          <c:spPr>
            <a:solidFill>
              <a:schemeClr val="accent5">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Dashboard Design Space'!$A$9</c:f>
              <c:strCache>
                <c:ptCount val="1"/>
                <c:pt idx="0">
                  <c:v>Total</c:v>
                </c:pt>
              </c:strCache>
            </c:strRef>
          </c:cat>
          <c:val>
            <c:numRef>
              <c:f>'Product Dashboard Design Space'!$B$9</c:f>
              <c:numCache>
                <c:formatCode>General</c:formatCode>
                <c:ptCount val="1"/>
                <c:pt idx="0">
                  <c:v>1536</c:v>
                </c:pt>
              </c:numCache>
            </c:numRef>
          </c:val>
          <c:extLst>
            <c:ext xmlns:c16="http://schemas.microsoft.com/office/drawing/2014/chart" uri="{C3380CC4-5D6E-409C-BE32-E72D297353CC}">
              <c16:uniqueId val="{00000000-4DE6-48A0-BD74-7CFDE22EFE2C}"/>
            </c:ext>
          </c:extLst>
        </c:ser>
        <c:ser>
          <c:idx val="2"/>
          <c:order val="2"/>
          <c:tx>
            <c:strRef>
              <c:f>'Product Dashboard Design Space'!$C$8</c:f>
              <c:strCache>
                <c:ptCount val="1"/>
                <c:pt idx="0">
                  <c:v>Sum of Over Target</c:v>
                </c:pt>
              </c:strCache>
            </c:strRef>
          </c:tx>
          <c:spPr>
            <a:solidFill>
              <a:schemeClr val="accent5">
                <a:tint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Dashboard Design Space'!$A$9</c:f>
              <c:strCache>
                <c:ptCount val="1"/>
                <c:pt idx="0">
                  <c:v>Total</c:v>
                </c:pt>
              </c:strCache>
            </c:strRef>
          </c:cat>
          <c:val>
            <c:numRef>
              <c:f>'Product Dashboard Design Space'!$C$9</c:f>
              <c:numCache>
                <c:formatCode>General</c:formatCode>
                <c:ptCount val="1"/>
                <c:pt idx="0">
                  <c:v>1536</c:v>
                </c:pt>
              </c:numCache>
            </c:numRef>
          </c:val>
          <c:extLst>
            <c:ext xmlns:c16="http://schemas.microsoft.com/office/drawing/2014/chart" uri="{C3380CC4-5D6E-409C-BE32-E72D297353CC}">
              <c16:uniqueId val="{00000001-4DE6-48A0-BD74-7CFDE22EFE2C}"/>
            </c:ext>
          </c:extLst>
        </c:ser>
        <c:dLbls>
          <c:dLblPos val="inBase"/>
          <c:showLegendKey val="0"/>
          <c:showVal val="1"/>
          <c:showCatName val="0"/>
          <c:showSerName val="0"/>
          <c:showPercent val="0"/>
          <c:showBubbleSize val="0"/>
        </c:dLbls>
        <c:gapWidth val="219"/>
        <c:overlap val="100"/>
        <c:axId val="135254751"/>
        <c:axId val="135255167"/>
      </c:barChart>
      <c:lineChart>
        <c:grouping val="standard"/>
        <c:varyColors val="0"/>
        <c:ser>
          <c:idx val="0"/>
          <c:order val="0"/>
          <c:tx>
            <c:strRef>
              <c:f>'Product Dashboard Design Space'!$A$8</c:f>
              <c:strCache>
                <c:ptCount val="1"/>
                <c:pt idx="0">
                  <c:v>Sum of SALES TARGET</c:v>
                </c:pt>
              </c:strCache>
            </c:strRef>
          </c:tx>
          <c:spPr>
            <a:ln w="28575" cap="rnd">
              <a:solidFill>
                <a:schemeClr val="accent5">
                  <a:shade val="65000"/>
                </a:schemeClr>
              </a:solidFill>
              <a:round/>
            </a:ln>
            <a:effectLst/>
          </c:spPr>
          <c:marker>
            <c:symbol val="circle"/>
            <c:size val="59"/>
            <c:spPr>
              <a:solidFill>
                <a:schemeClr val="accent5">
                  <a:shade val="65000"/>
                </a:schemeClr>
              </a:solidFill>
              <a:ln w="9525">
                <a:solidFill>
                  <a:schemeClr val="accent5">
                    <a:shade val="65000"/>
                  </a:schemeClr>
                </a:solidFill>
              </a:ln>
              <a:effectLst/>
            </c:spPr>
          </c:marker>
          <c:dPt>
            <c:idx val="0"/>
            <c:marker>
              <c:symbol val="dash"/>
              <c:size val="59"/>
              <c:spPr>
                <a:solidFill>
                  <a:schemeClr val="accent5">
                    <a:shade val="65000"/>
                  </a:schemeClr>
                </a:solidFill>
                <a:ln w="9525">
                  <a:solidFill>
                    <a:schemeClr val="accent5">
                      <a:shade val="65000"/>
                    </a:schemeClr>
                  </a:solidFill>
                </a:ln>
                <a:effectLst/>
              </c:spPr>
            </c:marker>
            <c:bubble3D val="0"/>
            <c:spPr>
              <a:ln w="28575" cap="rnd">
                <a:noFill/>
                <a:round/>
              </a:ln>
              <a:effectLst/>
            </c:spPr>
            <c:extLst>
              <c:ext xmlns:c16="http://schemas.microsoft.com/office/drawing/2014/chart" uri="{C3380CC4-5D6E-409C-BE32-E72D297353CC}">
                <c16:uniqueId val="{00000003-4DE6-48A0-BD74-7CFDE22EFE2C}"/>
              </c:ext>
            </c:extLst>
          </c:dPt>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Dashboard Design Space'!$A$9</c:f>
              <c:strCache>
                <c:ptCount val="1"/>
                <c:pt idx="0">
                  <c:v>Total</c:v>
                </c:pt>
              </c:strCache>
            </c:strRef>
          </c:cat>
          <c:val>
            <c:numRef>
              <c:f>'Product Dashboard Design Space'!$A$9</c:f>
              <c:numCache>
                <c:formatCode>General</c:formatCode>
                <c:ptCount val="1"/>
                <c:pt idx="0">
                  <c:v>1300</c:v>
                </c:pt>
              </c:numCache>
            </c:numRef>
          </c:val>
          <c:smooth val="0"/>
          <c:extLst>
            <c:ext xmlns:c16="http://schemas.microsoft.com/office/drawing/2014/chart" uri="{C3380CC4-5D6E-409C-BE32-E72D297353CC}">
              <c16:uniqueId val="{00000004-4DE6-48A0-BD74-7CFDE22EFE2C}"/>
            </c:ext>
          </c:extLst>
        </c:ser>
        <c:dLbls>
          <c:showLegendKey val="0"/>
          <c:showVal val="1"/>
          <c:showCatName val="0"/>
          <c:showSerName val="0"/>
          <c:showPercent val="0"/>
          <c:showBubbleSize val="0"/>
        </c:dLbls>
        <c:marker val="1"/>
        <c:smooth val="0"/>
        <c:axId val="135254751"/>
        <c:axId val="135255167"/>
      </c:lineChart>
      <c:catAx>
        <c:axId val="135254751"/>
        <c:scaling>
          <c:orientation val="minMax"/>
        </c:scaling>
        <c:delete val="1"/>
        <c:axPos val="b"/>
        <c:numFmt formatCode="General" sourceLinked="1"/>
        <c:majorTickMark val="none"/>
        <c:minorTickMark val="none"/>
        <c:tickLblPos val="nextTo"/>
        <c:crossAx val="135255167"/>
        <c:crosses val="autoZero"/>
        <c:auto val="1"/>
        <c:lblAlgn val="ctr"/>
        <c:lblOffset val="100"/>
        <c:noMultiLvlLbl val="0"/>
      </c:catAx>
      <c:valAx>
        <c:axId val="135255167"/>
        <c:scaling>
          <c:orientation val="minMax"/>
        </c:scaling>
        <c:delete val="1"/>
        <c:axPos val="l"/>
        <c:majorGridlines>
          <c:spPr>
            <a:ln w="9525" cap="flat" cmpd="sng" algn="ctr">
              <a:solidFill>
                <a:schemeClr val="bg1"/>
              </a:solidFill>
              <a:round/>
            </a:ln>
            <a:effectLst/>
          </c:spPr>
        </c:majorGridlines>
        <c:numFmt formatCode="General" sourceLinked="1"/>
        <c:majorTickMark val="none"/>
        <c:minorTickMark val="none"/>
        <c:tickLblPos val="nextTo"/>
        <c:crossAx val="135254751"/>
        <c:crosses val="autoZero"/>
        <c:crossBetween val="between"/>
      </c:valAx>
      <c:spPr>
        <a:solidFill>
          <a:schemeClr val="bg1"/>
        </a:solidFill>
        <a:ln>
          <a:solidFill>
            <a:schemeClr val="bg1"/>
          </a:solidFill>
        </a:ln>
        <a:effectLst/>
      </c:spPr>
    </c:plotArea>
    <c:legend>
      <c:legendPos val="r"/>
      <c:legendEntry>
        <c:idx val="1"/>
        <c:delete val="1"/>
      </c:legendEntry>
      <c:layout>
        <c:manualLayout>
          <c:xMode val="edge"/>
          <c:yMode val="edge"/>
          <c:x val="0.63206495381848882"/>
          <c:y val="0.65277492487352129"/>
          <c:w val="0.36101463095659764"/>
          <c:h val="0.32790140362889419"/>
        </c:manualLayout>
      </c:layout>
      <c:overlay val="0"/>
      <c:spPr>
        <a:noFill/>
        <a:ln>
          <a:noFill/>
        </a:ln>
        <a:effectLst/>
      </c:spPr>
      <c:txPr>
        <a:bodyPr rot="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5">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8">
  <a:schemeClr val="accent5"/>
</cs:colorStyle>
</file>

<file path=xl/charts/colors6.xml><?xml version="1.0" encoding="utf-8"?>
<cs:colorStyle xmlns:cs="http://schemas.microsoft.com/office/drawing/2012/chartStyle" xmlns:a="http://schemas.openxmlformats.org/drawingml/2006/main" meth="withinLinearReversed" id="25">
  <a:schemeClr val="accent5"/>
</cs:colorStyle>
</file>

<file path=xl/charts/colors7.xml><?xml version="1.0" encoding="utf-8"?>
<cs:colorStyle xmlns:cs="http://schemas.microsoft.com/office/drawing/2012/chartStyle" xmlns:a="http://schemas.openxmlformats.org/drawingml/2006/main" meth="withinLinear" id="18">
  <a:schemeClr val="accent5"/>
</cs:colorStyle>
</file>

<file path=xl/charts/colors8.xml><?xml version="1.0" encoding="utf-8"?>
<cs:colorStyle xmlns:cs="http://schemas.microsoft.com/office/drawing/2012/chartStyle" xmlns:a="http://schemas.openxmlformats.org/drawingml/2006/main" meth="withinLinearReversed" id="25">
  <a:schemeClr val="accent5"/>
</cs:colorStyle>
</file>

<file path=xl/charts/colors9.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9525</xdr:rowOff>
    </xdr:from>
    <xdr:to>
      <xdr:col>19</xdr:col>
      <xdr:colOff>257174</xdr:colOff>
      <xdr:row>82</xdr:row>
      <xdr:rowOff>133350</xdr:rowOff>
    </xdr:to>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609600" y="171450"/>
          <a:ext cx="11229974" cy="13268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a:solidFill>
                <a:schemeClr val="dk1"/>
              </a:solidFill>
              <a:effectLst/>
              <a:latin typeface="+mn-lt"/>
              <a:ea typeface="+mn-ea"/>
              <a:cs typeface="+mn-cs"/>
            </a:rPr>
            <a:t>SIMULATION ACTIVITY</a:t>
          </a:r>
        </a:p>
        <a:p>
          <a:pPr algn="ctr"/>
          <a:r>
            <a:rPr lang="en-US" sz="2400" b="1">
              <a:solidFill>
                <a:schemeClr val="dk1"/>
              </a:solidFill>
              <a:effectLst/>
              <a:latin typeface="+mn-lt"/>
              <a:ea typeface="+mn-ea"/>
              <a:cs typeface="+mn-cs"/>
            </a:rPr>
            <a:t>MODELLING PROJECT</a:t>
          </a:r>
          <a:r>
            <a:rPr lang="en-AU" sz="2400">
              <a:effectLst/>
            </a:rPr>
            <a:t> </a:t>
          </a:r>
          <a:r>
            <a:rPr lang="en-US" sz="2400" b="1">
              <a:solidFill>
                <a:schemeClr val="dk1"/>
              </a:solidFill>
              <a:effectLst/>
              <a:latin typeface="+mn-lt"/>
              <a:ea typeface="+mn-ea"/>
              <a:cs typeface="+mn-cs"/>
            </a:rPr>
            <a:t> </a:t>
          </a:r>
          <a:endParaRPr lang="en-AU" sz="2400">
            <a:solidFill>
              <a:schemeClr val="dk1"/>
            </a:solidFill>
            <a:effectLst/>
            <a:latin typeface="+mn-lt"/>
            <a:ea typeface="+mn-ea"/>
            <a:cs typeface="+mn-cs"/>
          </a:endParaRPr>
        </a:p>
        <a:p>
          <a:endParaRPr lang="en-US" sz="1100" b="1">
            <a:solidFill>
              <a:schemeClr val="dk1"/>
            </a:solidFill>
            <a:effectLst/>
            <a:latin typeface="+mn-lt"/>
            <a:ea typeface="+mn-ea"/>
            <a:cs typeface="+mn-cs"/>
          </a:endParaRPr>
        </a:p>
        <a:p>
          <a:r>
            <a:rPr lang="en-US" sz="2000" b="1">
              <a:solidFill>
                <a:srgbClr val="C00000"/>
              </a:solidFill>
              <a:effectLst/>
              <a:latin typeface="+mn-lt"/>
              <a:ea typeface="+mn-ea"/>
              <a:cs typeface="+mn-cs"/>
            </a:rPr>
            <a:t>Omega Pty Ltd</a:t>
          </a:r>
          <a:endParaRPr lang="en-AU" sz="2000">
            <a:solidFill>
              <a:srgbClr val="C00000"/>
            </a:solidFill>
            <a:effectLst/>
            <a:latin typeface="+mn-lt"/>
            <a:ea typeface="+mn-ea"/>
            <a:cs typeface="+mn-cs"/>
          </a:endParaRPr>
        </a:p>
        <a:p>
          <a:r>
            <a:rPr lang="en-US" sz="1100">
              <a:solidFill>
                <a:schemeClr val="dk1"/>
              </a:solidFill>
              <a:effectLst/>
              <a:latin typeface="+mn-lt"/>
              <a:ea typeface="+mn-ea"/>
              <a:cs typeface="+mn-cs"/>
            </a:rPr>
            <a:t> </a:t>
          </a:r>
          <a:endParaRPr lang="en-AU" sz="1100">
            <a:solidFill>
              <a:schemeClr val="dk1"/>
            </a:solidFill>
            <a:effectLst/>
            <a:latin typeface="+mn-lt"/>
            <a:ea typeface="+mn-ea"/>
            <a:cs typeface="+mn-cs"/>
          </a:endParaRPr>
        </a:p>
        <a:p>
          <a:r>
            <a:rPr lang="en-US" sz="1100" b="1">
              <a:solidFill>
                <a:schemeClr val="dk1"/>
              </a:solidFill>
              <a:effectLst/>
              <a:latin typeface="+mn-lt"/>
              <a:ea typeface="+mn-ea"/>
              <a:cs typeface="+mn-cs"/>
            </a:rPr>
            <a:t>1. Introduction </a:t>
          </a:r>
          <a:endParaRPr lang="en-AU">
            <a:effectLst/>
          </a:endParaRPr>
        </a:p>
        <a:p>
          <a:r>
            <a:rPr lang="en-AU" sz="1100">
              <a:solidFill>
                <a:schemeClr val="dk1"/>
              </a:solidFill>
              <a:effectLst/>
              <a:latin typeface="+mn-lt"/>
              <a:ea typeface="+mn-ea"/>
              <a:cs typeface="+mn-cs"/>
            </a:rPr>
            <a:t>The aim of this assessment is to apply modelling principles, data analytics and modelling skills to develop a decision model for a given business scenario using the information provided. </a:t>
          </a:r>
        </a:p>
        <a:p>
          <a:r>
            <a:rPr lang="en-AU" sz="1100">
              <a:solidFill>
                <a:schemeClr val="dk1"/>
              </a:solidFill>
              <a:effectLst/>
              <a:latin typeface="+mn-lt"/>
              <a:ea typeface="+mn-ea"/>
              <a:cs typeface="+mn-cs"/>
            </a:rPr>
            <a:t> </a:t>
          </a:r>
        </a:p>
        <a:p>
          <a:r>
            <a:rPr lang="en-AU" sz="1100">
              <a:solidFill>
                <a:schemeClr val="dk1"/>
              </a:solidFill>
              <a:effectLst/>
              <a:latin typeface="+mn-lt"/>
              <a:ea typeface="+mn-ea"/>
              <a:cs typeface="+mn-cs"/>
            </a:rPr>
            <a:t>You are the business analyst of Omega Pty Ltd and have been given information regarding the business activities for the Year 2019, 2020 and 2021. The General Manager requests you to develop a decision model to analyse these information and submit a 1000 word summary report on the findings of your analysis and recommendation for the proposed Maroochydore store. </a:t>
          </a:r>
        </a:p>
        <a:p>
          <a:endParaRPr lang="en-US" sz="1100">
            <a:solidFill>
              <a:schemeClr val="dk1"/>
            </a:solidFill>
            <a:effectLst/>
            <a:latin typeface="+mn-lt"/>
            <a:ea typeface="+mn-ea"/>
            <a:cs typeface="+mn-cs"/>
          </a:endParaRPr>
        </a:p>
        <a:p>
          <a:r>
            <a:rPr lang="en-AU" sz="1100" b="1">
              <a:solidFill>
                <a:schemeClr val="dk1"/>
              </a:solidFill>
              <a:effectLst/>
              <a:latin typeface="+mn-lt"/>
              <a:ea typeface="+mn-ea"/>
              <a:cs typeface="+mn-cs"/>
            </a:rPr>
            <a:t>The business problem</a:t>
          </a:r>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Omega Pty Ltd, an Australian company selling whitegoods and consumer electronics including Washing Machines, Fridges, Computers and Tablets, Microwaves, TVs, Mobile Phones, Games and Consoles. Sales staff have been trained to sell all items.</a:t>
          </a:r>
        </a:p>
        <a:p>
          <a:r>
            <a:rPr lang="en-AU" sz="1100">
              <a:solidFill>
                <a:schemeClr val="dk1"/>
              </a:solidFill>
              <a:effectLst/>
              <a:latin typeface="+mn-lt"/>
              <a:ea typeface="+mn-ea"/>
              <a:cs typeface="+mn-cs"/>
            </a:rPr>
            <a:t> </a:t>
          </a:r>
        </a:p>
        <a:p>
          <a:r>
            <a:rPr lang="en-AU" sz="1100">
              <a:solidFill>
                <a:schemeClr val="dk1"/>
              </a:solidFill>
              <a:effectLst/>
              <a:latin typeface="+mn-lt"/>
              <a:ea typeface="+mn-ea"/>
              <a:cs typeface="+mn-cs"/>
            </a:rPr>
            <a:t>Omega has sales outlets in Brisbane, Gold Coast, Townsville, and Cairns and </a:t>
          </a:r>
          <a:r>
            <a:rPr lang="en-AU" sz="1100" i="1" u="sng">
              <a:solidFill>
                <a:schemeClr val="dk1"/>
              </a:solidFill>
              <a:effectLst/>
              <a:latin typeface="+mn-lt"/>
              <a:ea typeface="+mn-ea"/>
              <a:cs typeface="+mn-cs"/>
            </a:rPr>
            <a:t>is considering</a:t>
          </a:r>
          <a:r>
            <a:rPr lang="en-AU" sz="1100" i="1">
              <a:solidFill>
                <a:schemeClr val="dk1"/>
              </a:solidFill>
              <a:effectLst/>
              <a:latin typeface="+mn-lt"/>
              <a:ea typeface="+mn-ea"/>
              <a:cs typeface="+mn-cs"/>
            </a:rPr>
            <a:t> </a:t>
          </a:r>
          <a:r>
            <a:rPr lang="en-AU" sz="1100" i="1" u="sng">
              <a:solidFill>
                <a:schemeClr val="dk1"/>
              </a:solidFill>
              <a:effectLst/>
              <a:latin typeface="+mn-lt"/>
              <a:ea typeface="+mn-ea"/>
              <a:cs typeface="+mn-cs"/>
            </a:rPr>
            <a:t>opening a new store at Maroochydore</a:t>
          </a:r>
          <a:r>
            <a:rPr lang="en-AU" sz="1100">
              <a:solidFill>
                <a:schemeClr val="dk1"/>
              </a:solidFill>
              <a:effectLst/>
              <a:latin typeface="+mn-lt"/>
              <a:ea typeface="+mn-ea"/>
              <a:cs typeface="+mn-cs"/>
            </a:rPr>
            <a:t>. The sales volumes and costs from this new store are expected to be similar to the Gold Coast, but there is an </a:t>
          </a:r>
          <a:r>
            <a:rPr lang="en-AU" sz="1100" u="sng">
              <a:solidFill>
                <a:schemeClr val="dk1"/>
              </a:solidFill>
              <a:effectLst/>
              <a:latin typeface="+mn-lt"/>
              <a:ea typeface="+mn-ea"/>
              <a:cs typeface="+mn-cs"/>
            </a:rPr>
            <a:t>establishment cost of $1million.</a:t>
          </a:r>
          <a:r>
            <a:rPr lang="en-AU" sz="1100">
              <a:solidFill>
                <a:schemeClr val="dk1"/>
              </a:solidFill>
              <a:effectLst/>
              <a:latin typeface="+mn-lt"/>
              <a:ea typeface="+mn-ea"/>
              <a:cs typeface="+mn-cs"/>
            </a:rPr>
            <a:t> The establishment cost are cost of setting up the new store (buying the building and renovation).</a:t>
          </a:r>
        </a:p>
        <a:p>
          <a:r>
            <a:rPr lang="en-AU" sz="1100">
              <a:solidFill>
                <a:schemeClr val="dk1"/>
              </a:solidFill>
              <a:effectLst/>
              <a:latin typeface="+mn-lt"/>
              <a:ea typeface="+mn-ea"/>
              <a:cs typeface="+mn-cs"/>
            </a:rPr>
            <a:t> </a:t>
          </a:r>
        </a:p>
        <a:p>
          <a:r>
            <a:rPr lang="en-AU" sz="1100">
              <a:solidFill>
                <a:schemeClr val="dk1"/>
              </a:solidFill>
              <a:effectLst/>
              <a:latin typeface="+mn-lt"/>
              <a:ea typeface="+mn-ea"/>
              <a:cs typeface="+mn-cs"/>
            </a:rPr>
            <a:t>Mr Andy William, the financial analysis of Omega Pty Ltd, has worked up several options to financial the $1 million establishment cost.</a:t>
          </a:r>
        </a:p>
        <a:p>
          <a:endParaRPr lang="en-AU" sz="1100">
            <a:solidFill>
              <a:schemeClr val="dk1"/>
            </a:solidFill>
            <a:effectLst/>
            <a:latin typeface="+mn-lt"/>
            <a:ea typeface="+mn-ea"/>
            <a:cs typeface="+mn-cs"/>
          </a:endParaRPr>
        </a:p>
        <a:p>
          <a:endParaRPr lang="en-AU" sz="1100">
            <a:solidFill>
              <a:schemeClr val="dk1"/>
            </a:solidFill>
            <a:effectLst/>
            <a:latin typeface="+mn-lt"/>
            <a:ea typeface="+mn-ea"/>
            <a:cs typeface="+mn-cs"/>
          </a:endParaRPr>
        </a:p>
        <a:p>
          <a:endParaRPr lang="en-AU" sz="1100">
            <a:solidFill>
              <a:schemeClr val="dk1"/>
            </a:solidFill>
            <a:effectLst/>
            <a:latin typeface="+mn-lt"/>
            <a:ea typeface="+mn-ea"/>
            <a:cs typeface="+mn-cs"/>
          </a:endParaRPr>
        </a:p>
        <a:p>
          <a:endParaRPr lang="en-AU" sz="1100">
            <a:solidFill>
              <a:schemeClr val="dk1"/>
            </a:solidFill>
            <a:effectLst/>
            <a:latin typeface="+mn-lt"/>
            <a:ea typeface="+mn-ea"/>
            <a:cs typeface="+mn-cs"/>
          </a:endParaRPr>
        </a:p>
        <a:p>
          <a:endParaRPr lang="en-AU" sz="1100">
            <a:solidFill>
              <a:schemeClr val="dk1"/>
            </a:solidFill>
            <a:effectLst/>
            <a:latin typeface="+mn-lt"/>
            <a:ea typeface="+mn-ea"/>
            <a:cs typeface="+mn-cs"/>
          </a:endParaRPr>
        </a:p>
        <a:p>
          <a:endParaRPr lang="en-AU" sz="1100">
            <a:solidFill>
              <a:schemeClr val="dk1"/>
            </a:solidFill>
            <a:effectLst/>
            <a:latin typeface="+mn-lt"/>
            <a:ea typeface="+mn-ea"/>
            <a:cs typeface="+mn-cs"/>
          </a:endParaRPr>
        </a:p>
        <a:p>
          <a:endParaRPr lang="en-AU" sz="1100">
            <a:solidFill>
              <a:schemeClr val="dk1"/>
            </a:solidFill>
            <a:effectLst/>
            <a:latin typeface="+mn-lt"/>
            <a:ea typeface="+mn-ea"/>
            <a:cs typeface="+mn-cs"/>
          </a:endParaRPr>
        </a:p>
        <a:p>
          <a:endParaRPr lang="en-AU" sz="1100">
            <a:solidFill>
              <a:schemeClr val="dk1"/>
            </a:solidFill>
            <a:effectLst/>
            <a:latin typeface="+mn-lt"/>
            <a:ea typeface="+mn-ea"/>
            <a:cs typeface="+mn-cs"/>
          </a:endParaRPr>
        </a:p>
        <a:p>
          <a:endParaRPr lang="en-AU" sz="1100">
            <a:solidFill>
              <a:schemeClr val="dk1"/>
            </a:solidFill>
            <a:effectLst/>
            <a:latin typeface="+mn-lt"/>
            <a:ea typeface="+mn-ea"/>
            <a:cs typeface="+mn-cs"/>
          </a:endParaRPr>
        </a:p>
        <a:p>
          <a:endParaRPr lang="en-AU" sz="1100">
            <a:solidFill>
              <a:schemeClr val="dk1"/>
            </a:solidFill>
            <a:effectLst/>
            <a:latin typeface="+mn-lt"/>
            <a:ea typeface="+mn-ea"/>
            <a:cs typeface="+mn-cs"/>
          </a:endParaRPr>
        </a:p>
        <a:p>
          <a:br>
            <a:rPr lang="en-AU" sz="1100">
              <a:solidFill>
                <a:schemeClr val="dk1"/>
              </a:solidFill>
              <a:effectLst/>
              <a:latin typeface="+mn-lt"/>
              <a:ea typeface="+mn-ea"/>
              <a:cs typeface="+mn-cs"/>
            </a:rPr>
          </a:br>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 </a:t>
          </a:r>
        </a:p>
        <a:p>
          <a:r>
            <a:rPr lang="en-AU" sz="1100">
              <a:solidFill>
                <a:schemeClr val="dk1"/>
              </a:solidFill>
              <a:effectLst/>
              <a:latin typeface="+mn-lt"/>
              <a:ea typeface="+mn-ea"/>
              <a:cs typeface="+mn-cs"/>
            </a:rPr>
            <a:t> </a:t>
          </a:r>
        </a:p>
        <a:p>
          <a:r>
            <a:rPr lang="en-AU" sz="1100">
              <a:solidFill>
                <a:schemeClr val="dk1"/>
              </a:solidFill>
              <a:effectLst/>
              <a:latin typeface="+mn-lt"/>
              <a:ea typeface="+mn-ea"/>
              <a:cs typeface="+mn-cs"/>
            </a:rPr>
            <a:t>Andy has recommended Option 1 as the best option in financing the new store establishment cost. The annual loan amount of $244,627 will be used in simulating the income statement Maroochydore store.</a:t>
          </a:r>
        </a:p>
        <a:p>
          <a:r>
            <a:rPr lang="en-AU" sz="1100">
              <a:solidFill>
                <a:schemeClr val="dk1"/>
              </a:solidFill>
              <a:effectLst/>
              <a:latin typeface="+mn-lt"/>
              <a:ea typeface="+mn-ea"/>
              <a:cs typeface="+mn-cs"/>
            </a:rPr>
            <a:t>(For detail analysis of the financing options - see Module 8: Topic 3)</a:t>
          </a:r>
        </a:p>
        <a:p>
          <a:r>
            <a:rPr lang="en-AU" sz="1100">
              <a:solidFill>
                <a:schemeClr val="dk1"/>
              </a:solidFill>
              <a:effectLst/>
              <a:latin typeface="+mn-lt"/>
              <a:ea typeface="+mn-ea"/>
              <a:cs typeface="+mn-cs"/>
            </a:rPr>
            <a:t> </a:t>
          </a:r>
        </a:p>
        <a:p>
          <a:r>
            <a:rPr lang="en-AU" sz="1100">
              <a:solidFill>
                <a:schemeClr val="dk1"/>
              </a:solidFill>
              <a:effectLst/>
              <a:latin typeface="+mn-lt"/>
              <a:ea typeface="+mn-ea"/>
              <a:cs typeface="+mn-cs"/>
            </a:rPr>
            <a:t>The General Manager is uncertain what staffing levels should be set for this new Maroochydore outlet, and requests you to provide several staffing level options on the </a:t>
          </a:r>
          <a:r>
            <a:rPr lang="en-AU" sz="1100" i="1" u="sng">
              <a:solidFill>
                <a:schemeClr val="dk1"/>
              </a:solidFill>
              <a:effectLst/>
              <a:latin typeface="+mn-lt"/>
              <a:ea typeface="+mn-ea"/>
              <a:cs typeface="+mn-cs"/>
            </a:rPr>
            <a:t>feasibility </a:t>
          </a:r>
          <a:r>
            <a:rPr lang="en-AU" sz="1100">
              <a:solidFill>
                <a:schemeClr val="dk1"/>
              </a:solidFill>
              <a:effectLst/>
              <a:latin typeface="+mn-lt"/>
              <a:ea typeface="+mn-ea"/>
              <a:cs typeface="+mn-cs"/>
            </a:rPr>
            <a:t>of the Maroochydore store. </a:t>
          </a:r>
        </a:p>
        <a:p>
          <a:r>
            <a:rPr lang="en-AU" sz="1100">
              <a:solidFill>
                <a:schemeClr val="dk1"/>
              </a:solidFill>
              <a:effectLst/>
              <a:latin typeface="+mn-lt"/>
              <a:ea typeface="+mn-ea"/>
              <a:cs typeface="+mn-cs"/>
            </a:rPr>
            <a:t> </a:t>
          </a:r>
        </a:p>
        <a:p>
          <a:r>
            <a:rPr lang="en-AU" sz="1100">
              <a:solidFill>
                <a:schemeClr val="dk1"/>
              </a:solidFill>
              <a:effectLst/>
              <a:latin typeface="+mn-lt"/>
              <a:ea typeface="+mn-ea"/>
              <a:cs typeface="+mn-cs"/>
            </a:rPr>
            <a:t>You are the business analyst of Omega Pty Ltd and have been given information regarding the business activities for the Year 2019, 2020 and 2021. The General Manager requests you to develop a decision model to analyse these information. </a:t>
          </a:r>
        </a:p>
        <a:p>
          <a:r>
            <a:rPr lang="en-AU" sz="1100">
              <a:solidFill>
                <a:schemeClr val="dk1"/>
              </a:solidFill>
              <a:effectLst/>
              <a:latin typeface="+mn-lt"/>
              <a:ea typeface="+mn-ea"/>
              <a:cs typeface="+mn-cs"/>
            </a:rPr>
            <a:t> </a:t>
          </a:r>
        </a:p>
        <a:p>
          <a:r>
            <a:rPr lang="en-AU" sz="1100">
              <a:solidFill>
                <a:schemeClr val="dk1"/>
              </a:solidFill>
              <a:effectLst/>
              <a:latin typeface="+mn-lt"/>
              <a:ea typeface="+mn-ea"/>
              <a:cs typeface="+mn-cs"/>
            </a:rPr>
            <a:t>The general manager specifically asks you to develop a </a:t>
          </a:r>
          <a:r>
            <a:rPr lang="en-AU" sz="1100" u="sng">
              <a:solidFill>
                <a:schemeClr val="dk1"/>
              </a:solidFill>
              <a:effectLst/>
              <a:latin typeface="+mn-lt"/>
              <a:ea typeface="+mn-ea"/>
              <a:cs typeface="+mn-cs"/>
            </a:rPr>
            <a:t>decision model</a:t>
          </a:r>
          <a:r>
            <a:rPr lang="en-AU" sz="1100">
              <a:solidFill>
                <a:schemeClr val="dk1"/>
              </a:solidFill>
              <a:effectLst/>
              <a:latin typeface="+mn-lt"/>
              <a:ea typeface="+mn-ea"/>
              <a:cs typeface="+mn-cs"/>
            </a:rPr>
            <a:t> using Excel and develop some useful </a:t>
          </a:r>
          <a:r>
            <a:rPr lang="en-AU" sz="1100" b="1">
              <a:solidFill>
                <a:schemeClr val="dk1"/>
              </a:solidFill>
              <a:effectLst/>
              <a:latin typeface="+mn-lt"/>
              <a:ea typeface="+mn-ea"/>
              <a:cs typeface="+mn-cs"/>
            </a:rPr>
            <a:t>KEY PERFORMANCE INDICATOR DASHBOARD (KPIs) </a:t>
          </a:r>
          <a:r>
            <a:rPr lang="en-AU" sz="1100">
              <a:solidFill>
                <a:schemeClr val="dk1"/>
              </a:solidFill>
              <a:effectLst/>
              <a:latin typeface="+mn-lt"/>
              <a:ea typeface="+mn-ea"/>
              <a:cs typeface="+mn-cs"/>
            </a:rPr>
            <a:t>for analysis. The general manager also requests you to submit a 1000 words </a:t>
          </a:r>
          <a:r>
            <a:rPr lang="en-AU" sz="1100" u="sng">
              <a:solidFill>
                <a:schemeClr val="dk1"/>
              </a:solidFill>
              <a:effectLst/>
              <a:latin typeface="+mn-lt"/>
              <a:ea typeface="+mn-ea"/>
              <a:cs typeface="+mn-cs"/>
            </a:rPr>
            <a:t>summary report</a:t>
          </a:r>
          <a:r>
            <a:rPr lang="en-AU" sz="1100">
              <a:solidFill>
                <a:schemeClr val="dk1"/>
              </a:solidFill>
              <a:effectLst/>
              <a:latin typeface="+mn-lt"/>
              <a:ea typeface="+mn-ea"/>
              <a:cs typeface="+mn-cs"/>
            </a:rPr>
            <a:t> to:</a:t>
          </a:r>
        </a:p>
        <a:p>
          <a:r>
            <a:rPr lang="en-AU" sz="1100">
              <a:solidFill>
                <a:schemeClr val="dk1"/>
              </a:solidFill>
              <a:effectLst/>
              <a:latin typeface="+mn-lt"/>
              <a:ea typeface="+mn-ea"/>
              <a:cs typeface="+mn-cs"/>
            </a:rPr>
            <a:t> </a:t>
          </a:r>
        </a:p>
        <a:p>
          <a:pPr lvl="0"/>
          <a:r>
            <a:rPr lang="en-US" sz="1100">
              <a:solidFill>
                <a:schemeClr val="dk1"/>
              </a:solidFill>
              <a:effectLst/>
              <a:latin typeface="+mn-lt"/>
              <a:ea typeface="+mn-ea"/>
              <a:cs typeface="+mn-cs"/>
            </a:rPr>
            <a:t>highlight the major findings of your analysis, and </a:t>
          </a:r>
          <a:endParaRPr lang="en-AU" sz="1100">
            <a:solidFill>
              <a:schemeClr val="dk1"/>
            </a:solidFill>
            <a:effectLst/>
            <a:latin typeface="+mn-lt"/>
            <a:ea typeface="+mn-ea"/>
            <a:cs typeface="+mn-cs"/>
          </a:endParaRPr>
        </a:p>
        <a:p>
          <a:pPr lvl="0"/>
          <a:r>
            <a:rPr lang="en-US" sz="1100">
              <a:solidFill>
                <a:schemeClr val="dk1"/>
              </a:solidFill>
              <a:effectLst/>
              <a:latin typeface="+mn-lt"/>
              <a:ea typeface="+mn-ea"/>
              <a:cs typeface="+mn-cs"/>
            </a:rPr>
            <a:t>recommend feasibility options of the proposed Maroochydore  store.</a:t>
          </a:r>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 </a:t>
          </a:r>
        </a:p>
        <a:p>
          <a:r>
            <a:rPr lang="en-AU" sz="1100">
              <a:solidFill>
                <a:schemeClr val="dk1"/>
              </a:solidFill>
              <a:effectLst/>
              <a:latin typeface="+mn-lt"/>
              <a:ea typeface="+mn-ea"/>
              <a:cs typeface="+mn-cs"/>
            </a:rPr>
            <a:t>The summary report will be use to brief the executive management meeting next month.</a:t>
          </a:r>
        </a:p>
        <a:p>
          <a:r>
            <a:rPr lang="en-AU" sz="1100">
              <a:solidFill>
                <a:schemeClr val="dk1"/>
              </a:solidFill>
              <a:effectLst/>
              <a:latin typeface="+mn-lt"/>
              <a:ea typeface="+mn-ea"/>
              <a:cs typeface="+mn-cs"/>
            </a:rPr>
            <a:t> </a:t>
          </a:r>
        </a:p>
        <a:p>
          <a:r>
            <a:rPr lang="en-AU" sz="1100" b="1">
              <a:solidFill>
                <a:schemeClr val="dk1"/>
              </a:solidFill>
              <a:effectLst/>
              <a:latin typeface="+mn-lt"/>
              <a:ea typeface="+mn-ea"/>
              <a:cs typeface="+mn-cs"/>
            </a:rPr>
            <a:t>Instructions</a:t>
          </a:r>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In helping you to prepare the summary report, you MUST do the following to provide evidence to support your discussion and recommendation.</a:t>
          </a:r>
        </a:p>
        <a:p>
          <a:r>
            <a:rPr lang="en-AU" sz="1100">
              <a:solidFill>
                <a:schemeClr val="dk1"/>
              </a:solidFill>
              <a:effectLst/>
              <a:latin typeface="+mn-lt"/>
              <a:ea typeface="+mn-ea"/>
              <a:cs typeface="+mn-cs"/>
            </a:rPr>
            <a:t> </a:t>
          </a:r>
        </a:p>
        <a:p>
          <a:r>
            <a:rPr lang="en-AU" sz="1100" b="1">
              <a:solidFill>
                <a:schemeClr val="dk1"/>
              </a:solidFill>
              <a:effectLst/>
              <a:latin typeface="+mn-lt"/>
              <a:ea typeface="+mn-ea"/>
              <a:cs typeface="+mn-cs"/>
            </a:rPr>
            <a:t>Part 1: Decision Model (75%)</a:t>
          </a:r>
          <a:endParaRPr lang="en-AU">
            <a:effectLst/>
          </a:endParaRPr>
        </a:p>
        <a:p>
          <a:r>
            <a:rPr lang="en-AU" sz="1100">
              <a:solidFill>
                <a:schemeClr val="dk1"/>
              </a:solidFill>
              <a:effectLst/>
              <a:latin typeface="+mn-lt"/>
              <a:ea typeface="+mn-ea"/>
              <a:cs typeface="+mn-cs"/>
            </a:rPr>
            <a:t>You will be provided with a decision modelling template. The template contains many worksheets that has been designed to assist you to build the decision model for analysis and to build useful performance dashboard. </a:t>
          </a:r>
          <a:endParaRPr lang="en-AU">
            <a:effectLst/>
          </a:endParaRPr>
        </a:p>
        <a:p>
          <a:r>
            <a:rPr lang="en-AU" sz="1100">
              <a:solidFill>
                <a:schemeClr val="dk1"/>
              </a:solidFill>
              <a:effectLst/>
              <a:latin typeface="+mn-lt"/>
              <a:ea typeface="+mn-ea"/>
              <a:cs typeface="+mn-cs"/>
            </a:rPr>
            <a:t> </a:t>
          </a:r>
          <a:endParaRPr lang="en-AU">
            <a:effectLst/>
          </a:endParaRPr>
        </a:p>
        <a:p>
          <a:r>
            <a:rPr lang="en-AU" sz="1100">
              <a:solidFill>
                <a:schemeClr val="dk1"/>
              </a:solidFill>
              <a:effectLst/>
              <a:latin typeface="+mn-lt"/>
              <a:ea typeface="+mn-ea"/>
              <a:cs typeface="+mn-cs"/>
            </a:rPr>
            <a:t>You are required to apply modelling principles, spreadsheet engineering technique and modelling skills to complete the template and develop an analytic decision model.</a:t>
          </a:r>
          <a:endParaRPr lang="en-AU">
            <a:effectLst/>
          </a:endParaRPr>
        </a:p>
        <a:p>
          <a:r>
            <a:rPr lang="en-AU" sz="1100">
              <a:solidFill>
                <a:schemeClr val="dk1"/>
              </a:solidFill>
              <a:effectLst/>
              <a:latin typeface="+mn-lt"/>
              <a:ea typeface="+mn-ea"/>
              <a:cs typeface="+mn-cs"/>
            </a:rPr>
            <a:t> </a:t>
          </a:r>
          <a:endParaRPr lang="en-AU">
            <a:effectLst/>
          </a:endParaRPr>
        </a:p>
        <a:p>
          <a:r>
            <a:rPr lang="en-AU" sz="1100">
              <a:solidFill>
                <a:schemeClr val="dk1"/>
              </a:solidFill>
              <a:effectLst/>
              <a:latin typeface="+mn-lt"/>
              <a:ea typeface="+mn-ea"/>
              <a:cs typeface="+mn-cs"/>
            </a:rPr>
            <a:t>You are provided with series of videos in the learning activities to guide you to complete the template.</a:t>
          </a:r>
          <a:endParaRPr lang="en-AU">
            <a:effectLst/>
          </a:endParaRPr>
        </a:p>
        <a:p>
          <a:r>
            <a:rPr lang="en-AU" sz="1100" b="1">
              <a:solidFill>
                <a:schemeClr val="dk1"/>
              </a:solidFill>
              <a:effectLst/>
              <a:latin typeface="+mn-lt"/>
              <a:ea typeface="+mn-ea"/>
              <a:cs typeface="+mn-cs"/>
            </a:rPr>
            <a:t> </a:t>
          </a:r>
          <a:endParaRPr lang="en-AU" sz="1100">
            <a:solidFill>
              <a:schemeClr val="dk1"/>
            </a:solidFill>
            <a:effectLst/>
            <a:latin typeface="+mn-lt"/>
            <a:ea typeface="+mn-ea"/>
            <a:cs typeface="+mn-cs"/>
          </a:endParaRPr>
        </a:p>
        <a:p>
          <a:r>
            <a:rPr lang="en-AU" sz="1100" b="1">
              <a:solidFill>
                <a:schemeClr val="dk1"/>
              </a:solidFill>
              <a:effectLst/>
              <a:latin typeface="+mn-lt"/>
              <a:ea typeface="+mn-ea"/>
              <a:cs typeface="+mn-cs"/>
            </a:rPr>
            <a:t>Part 2: Summary Report &amp; Communication (25%)</a:t>
          </a:r>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Structure your summary report using headers. Focus the report on the findings of your analysis. Recommendation for Maroochydore store must be supported by your findings and analysis. </a:t>
          </a:r>
        </a:p>
        <a:p>
          <a:r>
            <a:rPr lang="en-AU" sz="1100">
              <a:solidFill>
                <a:schemeClr val="dk1"/>
              </a:solidFill>
              <a:effectLst/>
              <a:latin typeface="+mn-lt"/>
              <a:ea typeface="+mn-ea"/>
              <a:cs typeface="+mn-cs"/>
            </a:rPr>
            <a:t> </a:t>
          </a:r>
        </a:p>
        <a:p>
          <a:r>
            <a:rPr lang="en-AU" sz="1100">
              <a:solidFill>
                <a:schemeClr val="dk1"/>
              </a:solidFill>
              <a:effectLst/>
              <a:latin typeface="+mn-lt"/>
              <a:ea typeface="+mn-ea"/>
              <a:cs typeface="+mn-cs"/>
            </a:rPr>
            <a:t>A sample report structure is provided for your reference. (see assignment documentation)</a:t>
          </a:r>
        </a:p>
        <a:p>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The summary report will be use to brief the executive management meeting next month.</a:t>
          </a:r>
        </a:p>
        <a:p>
          <a:r>
            <a:rPr lang="en-AU" sz="1100" u="none" strike="noStrike">
              <a:solidFill>
                <a:schemeClr val="dk1"/>
              </a:solidFill>
              <a:effectLst/>
              <a:latin typeface="+mn-lt"/>
              <a:ea typeface="+mn-ea"/>
              <a:cs typeface="+mn-cs"/>
            </a:rPr>
            <a:t> </a:t>
          </a:r>
        </a:p>
        <a:p>
          <a:r>
            <a:rPr lang="en-US" sz="1100" b="1" u="sng">
              <a:solidFill>
                <a:schemeClr val="dk1"/>
              </a:solidFill>
              <a:effectLst/>
              <a:latin typeface="+mn-lt"/>
              <a:ea typeface="+mn-ea"/>
              <a:cs typeface="+mn-cs"/>
            </a:rPr>
            <a:t>This project contributes 30% to the overall subject grade.</a:t>
          </a:r>
          <a:endParaRPr lang="en-AU">
            <a:effectLst/>
          </a:endParaRPr>
        </a:p>
        <a:p>
          <a:r>
            <a:rPr lang="en-US" sz="1100">
              <a:solidFill>
                <a:schemeClr val="dk1"/>
              </a:solidFill>
              <a:effectLst/>
              <a:latin typeface="+mn-lt"/>
              <a:ea typeface="+mn-ea"/>
              <a:cs typeface="+mn-cs"/>
            </a:rPr>
            <a:t> </a:t>
          </a:r>
          <a:endParaRPr lang="en-AU">
            <a:effectLst/>
          </a:endParaRPr>
        </a:p>
        <a:p>
          <a:r>
            <a:rPr lang="en-US" sz="1100" u="sng">
              <a:solidFill>
                <a:schemeClr val="dk1"/>
              </a:solidFill>
              <a:effectLst/>
              <a:latin typeface="+mn-lt"/>
              <a:ea typeface="+mn-ea"/>
              <a:cs typeface="+mn-cs"/>
            </a:rPr>
            <a:t>You should of course keep your own back-up copy of the decison model.</a:t>
          </a:r>
          <a:endParaRPr lang="en-AU" u="sng">
            <a:effectLst/>
          </a:endParaRPr>
        </a:p>
        <a:p>
          <a:endParaRPr lang="en-US" sz="1100" b="1">
            <a:solidFill>
              <a:schemeClr val="dk1"/>
            </a:solidFill>
            <a:effectLst/>
            <a:latin typeface="+mn-lt"/>
            <a:ea typeface="+mn-ea"/>
            <a:cs typeface="+mn-cs"/>
          </a:endParaRPr>
        </a:p>
        <a:p>
          <a:endParaRPr lang="en-US" sz="1100" b="1">
            <a:solidFill>
              <a:schemeClr val="dk1"/>
            </a:solidFill>
            <a:effectLst/>
            <a:latin typeface="+mn-lt"/>
            <a:ea typeface="+mn-ea"/>
            <a:cs typeface="+mn-cs"/>
          </a:endParaRPr>
        </a:p>
        <a:p>
          <a:endParaRPr lang="en-US" sz="1100" b="1">
            <a:solidFill>
              <a:schemeClr val="dk1"/>
            </a:solidFill>
            <a:effectLst/>
            <a:latin typeface="+mn-lt"/>
            <a:ea typeface="+mn-ea"/>
            <a:cs typeface="+mn-cs"/>
          </a:endParaRPr>
        </a:p>
      </xdr:txBody>
    </xdr:sp>
    <xdr:clientData/>
  </xdr:twoCellAnchor>
  <xdr:twoCellAnchor editAs="oneCell">
    <xdr:from>
      <xdr:col>1</xdr:col>
      <xdr:colOff>180975</xdr:colOff>
      <xdr:row>25</xdr:row>
      <xdr:rowOff>133350</xdr:rowOff>
    </xdr:from>
    <xdr:to>
      <xdr:col>13</xdr:col>
      <xdr:colOff>141965</xdr:colOff>
      <xdr:row>37</xdr:row>
      <xdr:rowOff>95012</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stretch>
          <a:fillRect/>
        </a:stretch>
      </xdr:blipFill>
      <xdr:spPr>
        <a:xfrm>
          <a:off x="790575" y="4210050"/>
          <a:ext cx="7276190" cy="19047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0</xdr:rowOff>
    </xdr:from>
    <xdr:to>
      <xdr:col>17</xdr:col>
      <xdr:colOff>428625</xdr:colOff>
      <xdr:row>61</xdr:row>
      <xdr:rowOff>152401</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609600" y="390525"/>
          <a:ext cx="10315575" cy="101631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b="1">
              <a:solidFill>
                <a:srgbClr val="FF0000"/>
              </a:solidFill>
              <a:effectLst/>
              <a:latin typeface="+mn-lt"/>
              <a:ea typeface="+mn-ea"/>
              <a:cs typeface="+mn-cs"/>
            </a:rPr>
            <a:t>Model Assumptions (For</a:t>
          </a:r>
          <a:r>
            <a:rPr lang="en-AU" sz="1400" b="1" baseline="0">
              <a:solidFill>
                <a:srgbClr val="FF0000"/>
              </a:solidFill>
              <a:effectLst/>
              <a:latin typeface="+mn-lt"/>
              <a:ea typeface="+mn-ea"/>
              <a:cs typeface="+mn-cs"/>
            </a:rPr>
            <a:t> Excel Calculations)</a:t>
          </a:r>
          <a:endParaRPr lang="en-AU" sz="1400">
            <a:solidFill>
              <a:srgbClr val="FF0000"/>
            </a:solidFill>
            <a:effectLst/>
          </a:endParaRPr>
        </a:p>
        <a:p>
          <a:r>
            <a:rPr lang="en-AU" sz="1100" b="1">
              <a:solidFill>
                <a:schemeClr val="dk1"/>
              </a:solidFill>
              <a:effectLst/>
              <a:latin typeface="+mn-lt"/>
              <a:ea typeface="+mn-ea"/>
              <a:cs typeface="+mn-cs"/>
            </a:rPr>
            <a:t> </a:t>
          </a:r>
          <a:endParaRPr lang="en-AU">
            <a:effectLst/>
          </a:endParaRPr>
        </a:p>
        <a:p>
          <a:pPr>
            <a:spcAft>
              <a:spcPts val="0"/>
            </a:spcAft>
          </a:pPr>
          <a:r>
            <a:rPr lang="en-AU" sz="1100" b="1">
              <a:solidFill>
                <a:srgbClr val="002060"/>
              </a:solidFill>
              <a:effectLst/>
              <a:latin typeface="Calibri" panose="020F0502020204030204" pitchFamily="34" charset="0"/>
              <a:ea typeface="Times New Roman" panose="02020603050405020304" pitchFamily="18" charset="0"/>
            </a:rPr>
            <a:t>Profitability &amp; Financial Performance</a:t>
          </a:r>
          <a:endParaRPr lang="en-AU" sz="1100">
            <a:effectLst/>
            <a:latin typeface="Times New Roman" panose="02020603050405020304" pitchFamily="18" charset="0"/>
            <a:ea typeface="Times New Roman" panose="02020603050405020304" pitchFamily="18" charset="0"/>
          </a:endParaRPr>
        </a:p>
        <a:p>
          <a:pPr>
            <a:spcAft>
              <a:spcPts val="0"/>
            </a:spcAft>
          </a:pPr>
          <a:r>
            <a:rPr lang="en-AU" sz="1100" b="1">
              <a:effectLst/>
              <a:latin typeface="Calibri" panose="020F0502020204030204" pitchFamily="34" charset="0"/>
              <a:ea typeface="Times New Roman" panose="02020603050405020304" pitchFamily="18" charset="0"/>
            </a:rPr>
            <a:t> </a:t>
          </a:r>
          <a:endParaRPr lang="en-AU" sz="1100">
            <a:effectLst/>
            <a:latin typeface="Times New Roman" panose="02020603050405020304" pitchFamily="18" charset="0"/>
            <a:ea typeface="Times New Roman" panose="02020603050405020304" pitchFamily="18" charset="0"/>
          </a:endParaRPr>
        </a:p>
        <a:p>
          <a:pPr>
            <a:spcAft>
              <a:spcPts val="0"/>
            </a:spcAft>
          </a:pPr>
          <a:r>
            <a:rPr lang="en-AU" sz="1100" b="1">
              <a:solidFill>
                <a:srgbClr val="7030A0"/>
              </a:solidFill>
              <a:effectLst/>
              <a:latin typeface="Calibri" panose="020F0502020204030204" pitchFamily="34" charset="0"/>
              <a:ea typeface="Times New Roman" panose="02020603050405020304" pitchFamily="18" charset="0"/>
            </a:rPr>
            <a:t>(For Influence Diagram)</a:t>
          </a:r>
          <a:endParaRPr lang="en-AU" sz="1100">
            <a:effectLst/>
            <a:latin typeface="Times New Roman" panose="02020603050405020304" pitchFamily="18" charset="0"/>
            <a:ea typeface="Times New Roman" panose="02020603050405020304" pitchFamily="18" charset="0"/>
          </a:endParaRPr>
        </a:p>
        <a:p>
          <a:pPr>
            <a:spcAft>
              <a:spcPts val="0"/>
            </a:spcAft>
          </a:pPr>
          <a:r>
            <a:rPr lang="en-AU" sz="1100" b="1">
              <a:solidFill>
                <a:srgbClr val="002060"/>
              </a:solidFill>
              <a:effectLst/>
              <a:latin typeface="Calibri" panose="020F0502020204030204" pitchFamily="34" charset="0"/>
              <a:ea typeface="Times New Roman" panose="02020603050405020304" pitchFamily="18" charset="0"/>
            </a:rPr>
            <a:t>Net Profit</a:t>
          </a:r>
          <a:r>
            <a:rPr lang="en-AU" sz="1100" b="1" baseline="0">
              <a:solidFill>
                <a:srgbClr val="002060"/>
              </a:solidFill>
              <a:effectLst/>
              <a:latin typeface="Calibri" panose="020F0502020204030204" pitchFamily="34" charset="0"/>
              <a:ea typeface="Times New Roman" panose="02020603050405020304" pitchFamily="18" charset="0"/>
            </a:rPr>
            <a:t> before tax </a:t>
          </a:r>
          <a:r>
            <a:rPr lang="en-AU" sz="1100" b="1">
              <a:solidFill>
                <a:srgbClr val="002060"/>
              </a:solidFill>
              <a:effectLst/>
              <a:latin typeface="Calibri" panose="020F0502020204030204" pitchFamily="34" charset="0"/>
              <a:ea typeface="Times New Roman" panose="02020603050405020304" pitchFamily="18" charset="0"/>
            </a:rPr>
            <a:t>= Total Revenue – Total Operating Costs</a:t>
          </a:r>
          <a:endParaRPr lang="en-AU" sz="1100">
            <a:effectLst/>
            <a:latin typeface="Times New Roman" panose="02020603050405020304" pitchFamily="18" charset="0"/>
            <a:ea typeface="Times New Roman" panose="02020603050405020304" pitchFamily="18" charset="0"/>
          </a:endParaRPr>
        </a:p>
        <a:p>
          <a:pPr marL="342900" lvl="0" indent="-342900">
            <a:spcAft>
              <a:spcPts val="0"/>
            </a:spcAft>
            <a:buSzPts val="1000"/>
            <a:buFont typeface="Symbol" panose="05050102010706020507" pitchFamily="18" charset="2"/>
            <a:buChar char=""/>
            <a:tabLst>
              <a:tab pos="528320" algn="l"/>
              <a:tab pos="528955" algn="l"/>
            </a:tabLst>
          </a:pPr>
          <a:r>
            <a:rPr lang="en-AU" sz="1100">
              <a:solidFill>
                <a:srgbClr val="002060"/>
              </a:solidFill>
              <a:effectLst/>
              <a:latin typeface="Calibri" panose="020F0502020204030204" pitchFamily="34" charset="0"/>
              <a:ea typeface="Symbol" panose="05050102010706020507" pitchFamily="18" charset="2"/>
              <a:cs typeface="Symbol" panose="05050102010706020507" pitchFamily="18" charset="2"/>
            </a:rPr>
            <a:t>Total Revenue </a:t>
          </a:r>
          <a:r>
            <a:rPr lang="en-AU" sz="1100">
              <a:effectLst/>
              <a:latin typeface="Calibri" panose="020F0502020204030204" pitchFamily="34" charset="0"/>
              <a:ea typeface="Symbol" panose="05050102010706020507" pitchFamily="18" charset="2"/>
              <a:cs typeface="Symbol" panose="05050102010706020507" pitchFamily="18" charset="2"/>
            </a:rPr>
            <a:t>= Revenue 2019 + Revenue 2020 + Revenue</a:t>
          </a:r>
          <a:r>
            <a:rPr lang="en-AU" sz="1100" spc="-115">
              <a:effectLst/>
              <a:latin typeface="Calibri" panose="020F0502020204030204" pitchFamily="34" charset="0"/>
              <a:ea typeface="Symbol" panose="05050102010706020507" pitchFamily="18" charset="2"/>
              <a:cs typeface="Symbol" panose="05050102010706020507" pitchFamily="18" charset="2"/>
            </a:rPr>
            <a:t> </a:t>
          </a:r>
          <a:r>
            <a:rPr lang="en-AU" sz="1100">
              <a:effectLst/>
              <a:latin typeface="Calibri" panose="020F0502020204030204" pitchFamily="34" charset="0"/>
              <a:ea typeface="Symbol" panose="05050102010706020507" pitchFamily="18" charset="2"/>
              <a:cs typeface="Symbol" panose="05050102010706020507" pitchFamily="18" charset="2"/>
            </a:rPr>
            <a:t>2021</a:t>
          </a:r>
          <a:endParaRPr lang="en-AU" sz="1100">
            <a:effectLst/>
            <a:latin typeface="Times New Roman" panose="02020603050405020304" pitchFamily="18" charset="0"/>
            <a:ea typeface="Symbol" panose="05050102010706020507" pitchFamily="18" charset="2"/>
            <a:cs typeface="Symbol" panose="05050102010706020507" pitchFamily="18" charset="2"/>
          </a:endParaRPr>
        </a:p>
        <a:p>
          <a:pPr marL="742950" lvl="1" indent="-285750">
            <a:spcAft>
              <a:spcPts val="0"/>
            </a:spcAft>
            <a:buSzPts val="1000"/>
            <a:buFont typeface="Courier New" panose="02070309020205020404" pitchFamily="49" charset="0"/>
            <a:buChar char="o"/>
            <a:tabLst>
              <a:tab pos="985520" algn="l"/>
              <a:tab pos="986155" algn="l"/>
            </a:tabLst>
          </a:pPr>
          <a:r>
            <a:rPr lang="en-AU" sz="1100">
              <a:effectLst/>
              <a:latin typeface="Calibri" panose="020F0502020204030204" pitchFamily="34" charset="0"/>
              <a:ea typeface="Courier New" panose="02070309020205020404" pitchFamily="49" charset="0"/>
            </a:rPr>
            <a:t>Revenue (2019) = Actual Sales (2019) * AV sales price</a:t>
          </a:r>
          <a:r>
            <a:rPr lang="en-AU" sz="1100" spc="-155">
              <a:effectLst/>
              <a:latin typeface="Calibri" panose="020F0502020204030204" pitchFamily="34" charset="0"/>
              <a:ea typeface="Courier New" panose="02070309020205020404" pitchFamily="49" charset="0"/>
            </a:rPr>
            <a:t> </a:t>
          </a:r>
          <a:r>
            <a:rPr lang="en-AU" sz="1100">
              <a:effectLst/>
              <a:latin typeface="Calibri" panose="020F0502020204030204" pitchFamily="34" charset="0"/>
              <a:ea typeface="Courier New" panose="02070309020205020404" pitchFamily="49" charset="0"/>
            </a:rPr>
            <a:t>($/item)</a:t>
          </a:r>
          <a:endParaRPr lang="en-AU" sz="1100">
            <a:effectLst/>
            <a:latin typeface="Times New Roman" panose="02020603050405020304" pitchFamily="18" charset="0"/>
            <a:ea typeface="Courier New" panose="02070309020205020404" pitchFamily="49" charset="0"/>
          </a:endParaRPr>
        </a:p>
        <a:p>
          <a:pPr marL="742950" lvl="1" indent="-285750">
            <a:spcAft>
              <a:spcPts val="0"/>
            </a:spcAft>
            <a:buSzPts val="1000"/>
            <a:buFont typeface="Courier New" panose="02070309020205020404" pitchFamily="49" charset="0"/>
            <a:buChar char="o"/>
            <a:tabLst>
              <a:tab pos="985520" algn="l"/>
              <a:tab pos="986155" algn="l"/>
            </a:tabLst>
          </a:pPr>
          <a:r>
            <a:rPr lang="en-AU" sz="1100">
              <a:effectLst/>
              <a:latin typeface="Calibri" panose="020F0502020204030204" pitchFamily="34" charset="0"/>
              <a:ea typeface="Courier New" panose="02070309020205020404" pitchFamily="49" charset="0"/>
            </a:rPr>
            <a:t>Revenue (2020) = Actual Sales (2020) * AV sales price</a:t>
          </a:r>
          <a:r>
            <a:rPr lang="en-AU" sz="1100" spc="-155">
              <a:effectLst/>
              <a:latin typeface="Calibri" panose="020F0502020204030204" pitchFamily="34" charset="0"/>
              <a:ea typeface="Courier New" panose="02070309020205020404" pitchFamily="49" charset="0"/>
            </a:rPr>
            <a:t> </a:t>
          </a:r>
          <a:r>
            <a:rPr lang="en-AU" sz="1100">
              <a:effectLst/>
              <a:latin typeface="Calibri" panose="020F0502020204030204" pitchFamily="34" charset="0"/>
              <a:ea typeface="Courier New" panose="02070309020205020404" pitchFamily="49" charset="0"/>
            </a:rPr>
            <a:t>($/item)</a:t>
          </a:r>
          <a:endParaRPr lang="en-AU" sz="1100">
            <a:effectLst/>
            <a:latin typeface="Times New Roman" panose="02020603050405020304" pitchFamily="18" charset="0"/>
            <a:ea typeface="Courier New" panose="02070309020205020404" pitchFamily="49" charset="0"/>
          </a:endParaRPr>
        </a:p>
        <a:p>
          <a:pPr marL="742950" lvl="1" indent="-285750">
            <a:spcAft>
              <a:spcPts val="0"/>
            </a:spcAft>
            <a:buSzPts val="1000"/>
            <a:buFont typeface="Courier New" panose="02070309020205020404" pitchFamily="49" charset="0"/>
            <a:buChar char="o"/>
            <a:tabLst>
              <a:tab pos="985520" algn="l"/>
              <a:tab pos="986155" algn="l"/>
            </a:tabLst>
          </a:pPr>
          <a:r>
            <a:rPr lang="en-AU" sz="1100">
              <a:effectLst/>
              <a:latin typeface="Calibri" panose="020F0502020204030204" pitchFamily="34" charset="0"/>
              <a:ea typeface="Courier New" panose="02070309020205020404" pitchFamily="49" charset="0"/>
            </a:rPr>
            <a:t>Revenue (2021) = Actual Sales (2021) * AV sales price</a:t>
          </a:r>
          <a:r>
            <a:rPr lang="en-AU" sz="1100" spc="-155">
              <a:effectLst/>
              <a:latin typeface="Calibri" panose="020F0502020204030204" pitchFamily="34" charset="0"/>
              <a:ea typeface="Courier New" panose="02070309020205020404" pitchFamily="49" charset="0"/>
            </a:rPr>
            <a:t> </a:t>
          </a:r>
          <a:r>
            <a:rPr lang="en-AU" sz="1100">
              <a:effectLst/>
              <a:latin typeface="Calibri" panose="020F0502020204030204" pitchFamily="34" charset="0"/>
              <a:ea typeface="Courier New" panose="02070309020205020404" pitchFamily="49" charset="0"/>
            </a:rPr>
            <a:t>($/item)</a:t>
          </a:r>
          <a:endParaRPr lang="en-AU" sz="1100">
            <a:effectLst/>
            <a:latin typeface="Times New Roman" panose="02020603050405020304" pitchFamily="18" charset="0"/>
            <a:ea typeface="Courier New" panose="02070309020205020404" pitchFamily="49" charset="0"/>
          </a:endParaRPr>
        </a:p>
        <a:p>
          <a:pPr>
            <a:spcAft>
              <a:spcPts val="0"/>
            </a:spcAft>
          </a:pPr>
          <a:r>
            <a:rPr lang="en-AU" sz="1100">
              <a:effectLst/>
              <a:latin typeface="Calibri" panose="020F0502020204030204" pitchFamily="34" charset="0"/>
              <a:ea typeface="Times New Roman" panose="02020603050405020304" pitchFamily="18" charset="0"/>
            </a:rPr>
            <a:t> </a:t>
          </a:r>
          <a:endParaRPr lang="en-AU" sz="1100">
            <a:effectLst/>
            <a:latin typeface="Times New Roman" panose="02020603050405020304" pitchFamily="18" charset="0"/>
            <a:ea typeface="Times New Roman" panose="02020603050405020304" pitchFamily="18" charset="0"/>
          </a:endParaRPr>
        </a:p>
        <a:p>
          <a:pPr marL="1143000" lvl="2" indent="-228600">
            <a:spcAft>
              <a:spcPts val="0"/>
            </a:spcAft>
            <a:buSzPts val="1000"/>
            <a:buFont typeface="Symbol" panose="05050102010706020507" pitchFamily="18" charset="2"/>
            <a:buChar char=""/>
            <a:tabLst>
              <a:tab pos="1213485" algn="l"/>
              <a:tab pos="1214120" algn="l"/>
            </a:tabLst>
          </a:pPr>
          <a:r>
            <a:rPr lang="en-AU" sz="1100">
              <a:effectLst/>
              <a:latin typeface="Calibri" panose="020F0502020204030204" pitchFamily="34" charset="0"/>
              <a:ea typeface="Symbol" panose="05050102010706020507" pitchFamily="18" charset="2"/>
              <a:cs typeface="Symbol" panose="05050102010706020507" pitchFamily="18" charset="2"/>
            </a:rPr>
            <a:t>Revenue = Actual Sales * Av Sales price</a:t>
          </a:r>
          <a:r>
            <a:rPr lang="en-AU" sz="1100" spc="-130">
              <a:effectLst/>
              <a:latin typeface="Calibri" panose="020F0502020204030204" pitchFamily="34" charset="0"/>
              <a:ea typeface="Symbol" panose="05050102010706020507" pitchFamily="18" charset="2"/>
              <a:cs typeface="Symbol" panose="05050102010706020507" pitchFamily="18" charset="2"/>
            </a:rPr>
            <a:t> </a:t>
          </a:r>
          <a:r>
            <a:rPr lang="en-AU" sz="1100">
              <a:effectLst/>
              <a:latin typeface="Calibri" panose="020F0502020204030204" pitchFamily="34" charset="0"/>
              <a:ea typeface="Symbol" panose="05050102010706020507" pitchFamily="18" charset="2"/>
              <a:cs typeface="Symbol" panose="05050102010706020507" pitchFamily="18" charset="2"/>
            </a:rPr>
            <a:t>($/item)</a:t>
          </a:r>
          <a:endParaRPr lang="en-AU" sz="1100">
            <a:effectLst/>
            <a:latin typeface="Times New Roman" panose="02020603050405020304" pitchFamily="18" charset="0"/>
            <a:ea typeface="Symbol" panose="05050102010706020507" pitchFamily="18" charset="2"/>
            <a:cs typeface="Symbol" panose="05050102010706020507" pitchFamily="18" charset="2"/>
          </a:endParaRPr>
        </a:p>
        <a:p>
          <a:pPr>
            <a:spcAft>
              <a:spcPts val="0"/>
            </a:spcAft>
          </a:pPr>
          <a:r>
            <a:rPr lang="en-AU" sz="1100">
              <a:effectLst/>
              <a:latin typeface="Calibri" panose="020F0502020204030204" pitchFamily="34" charset="0"/>
              <a:ea typeface="Times New Roman" panose="02020603050405020304" pitchFamily="18" charset="0"/>
            </a:rPr>
            <a:t> </a:t>
          </a:r>
          <a:endParaRPr lang="en-AU" sz="1100">
            <a:effectLst/>
            <a:latin typeface="Times New Roman" panose="02020603050405020304" pitchFamily="18" charset="0"/>
            <a:ea typeface="Times New Roman" panose="02020603050405020304" pitchFamily="18" charset="0"/>
          </a:endParaRPr>
        </a:p>
        <a:p>
          <a:pPr marL="342900" lvl="0" indent="-342900">
            <a:spcAft>
              <a:spcPts val="0"/>
            </a:spcAft>
            <a:buSzPts val="1000"/>
            <a:buFont typeface="Symbol" panose="05050102010706020507" pitchFamily="18" charset="2"/>
            <a:buChar char=""/>
            <a:tabLst>
              <a:tab pos="527685" algn="l"/>
              <a:tab pos="528320" algn="l"/>
            </a:tabLst>
          </a:pPr>
          <a:r>
            <a:rPr lang="en-AU" sz="1100">
              <a:solidFill>
                <a:srgbClr val="002060"/>
              </a:solidFill>
              <a:effectLst/>
              <a:latin typeface="Calibri" panose="020F0502020204030204" pitchFamily="34" charset="0"/>
              <a:ea typeface="Symbol" panose="05050102010706020507" pitchFamily="18" charset="2"/>
              <a:cs typeface="Symbol" panose="05050102010706020507" pitchFamily="18" charset="2"/>
            </a:rPr>
            <a:t>Total Operating Cost </a:t>
          </a:r>
          <a:r>
            <a:rPr lang="en-AU" sz="1100">
              <a:effectLst/>
              <a:latin typeface="Calibri" panose="020F0502020204030204" pitchFamily="34" charset="0"/>
              <a:ea typeface="Symbol" panose="05050102010706020507" pitchFamily="18" charset="2"/>
              <a:cs typeface="Symbol" panose="05050102010706020507" pitchFamily="18" charset="2"/>
            </a:rPr>
            <a:t>= Operating Costs 2019 + Operating Costs 2020 + Operating Cost</a:t>
          </a:r>
          <a:r>
            <a:rPr lang="en-AU" sz="1100" spc="-180">
              <a:effectLst/>
              <a:latin typeface="Calibri" panose="020F0502020204030204" pitchFamily="34" charset="0"/>
              <a:ea typeface="Symbol" panose="05050102010706020507" pitchFamily="18" charset="2"/>
              <a:cs typeface="Symbol" panose="05050102010706020507" pitchFamily="18" charset="2"/>
            </a:rPr>
            <a:t> </a:t>
          </a:r>
          <a:r>
            <a:rPr lang="en-AU" sz="1100">
              <a:effectLst/>
              <a:latin typeface="Calibri" panose="020F0502020204030204" pitchFamily="34" charset="0"/>
              <a:ea typeface="Symbol" panose="05050102010706020507" pitchFamily="18" charset="2"/>
              <a:cs typeface="Symbol" panose="05050102010706020507" pitchFamily="18" charset="2"/>
            </a:rPr>
            <a:t>2021</a:t>
          </a:r>
          <a:endParaRPr lang="en-AU" sz="1100">
            <a:effectLst/>
            <a:latin typeface="Times New Roman" panose="02020603050405020304" pitchFamily="18" charset="0"/>
            <a:ea typeface="Symbol" panose="05050102010706020507" pitchFamily="18" charset="2"/>
            <a:cs typeface="Symbol" panose="05050102010706020507" pitchFamily="18" charset="2"/>
          </a:endParaRPr>
        </a:p>
        <a:p>
          <a:pPr marL="742950" lvl="1" indent="-285750">
            <a:spcAft>
              <a:spcPts val="0"/>
            </a:spcAft>
            <a:buSzPts val="1000"/>
            <a:buFont typeface="Courier New" panose="02070309020205020404" pitchFamily="49" charset="0"/>
            <a:buChar char="o"/>
          </a:pPr>
          <a:r>
            <a:rPr lang="en-AU" sz="1100">
              <a:effectLst/>
              <a:latin typeface="Calibri" panose="020F0502020204030204" pitchFamily="34" charset="0"/>
              <a:ea typeface="Courier New" panose="02070309020205020404" pitchFamily="49" charset="0"/>
            </a:rPr>
            <a:t>Operation Costs  (2019) = Labour Cost (2019) + FAOC (2019) + VUAOC(2019)</a:t>
          </a:r>
          <a:r>
            <a:rPr lang="en-AU" sz="1100" spc="-120">
              <a:effectLst/>
              <a:latin typeface="Calibri" panose="020F0502020204030204" pitchFamily="34" charset="0"/>
              <a:ea typeface="Courier New" panose="02070309020205020404" pitchFamily="49" charset="0"/>
            </a:rPr>
            <a:t> </a:t>
          </a:r>
          <a:r>
            <a:rPr lang="en-AU" sz="1100">
              <a:effectLst/>
              <a:latin typeface="Calibri" panose="020F0502020204030204" pitchFamily="34" charset="0"/>
              <a:ea typeface="Courier New" panose="02070309020205020404" pitchFamily="49" charset="0"/>
            </a:rPr>
            <a:t>+ </a:t>
          </a:r>
          <a:endParaRPr lang="en-AU" sz="1100">
            <a:effectLst/>
            <a:latin typeface="Times New Roman" panose="02020603050405020304" pitchFamily="18" charset="0"/>
            <a:ea typeface="Courier New" panose="02070309020205020404" pitchFamily="49" charset="0"/>
          </a:endParaRPr>
        </a:p>
        <a:p>
          <a:pPr marL="756285">
            <a:spcAft>
              <a:spcPts val="0"/>
            </a:spcAft>
          </a:pPr>
          <a:r>
            <a:rPr lang="en-AU" sz="1100">
              <a:effectLst/>
              <a:latin typeface="Calibri" panose="020F0502020204030204" pitchFamily="34" charset="0"/>
              <a:ea typeface="Times New Roman" panose="02020603050405020304" pitchFamily="18" charset="0"/>
            </a:rPr>
            <a:t>                                                     APC (2019) + COGS (2019)</a:t>
          </a:r>
          <a:endParaRPr lang="en-AU" sz="1100">
            <a:effectLst/>
            <a:latin typeface="Times New Roman" panose="02020603050405020304" pitchFamily="18" charset="0"/>
            <a:ea typeface="Times New Roman" panose="02020603050405020304" pitchFamily="18" charset="0"/>
          </a:endParaRPr>
        </a:p>
        <a:p>
          <a:pPr marL="742950" lvl="1" indent="-285750">
            <a:spcAft>
              <a:spcPts val="0"/>
            </a:spcAft>
            <a:buSzPts val="1000"/>
            <a:buFont typeface="Courier New" panose="02070309020205020404" pitchFamily="49" charset="0"/>
            <a:buChar char="o"/>
          </a:pPr>
          <a:r>
            <a:rPr lang="en-AU" sz="1100">
              <a:effectLst/>
              <a:latin typeface="Calibri" panose="020F0502020204030204" pitchFamily="34" charset="0"/>
              <a:ea typeface="Courier New" panose="02070309020205020404" pitchFamily="49" charset="0"/>
            </a:rPr>
            <a:t>Operation Costs  (2020) = Labour Cost (2020) + FAOC (2020) + VUAOC(2020)</a:t>
          </a:r>
          <a:r>
            <a:rPr lang="en-AU" sz="1100" spc="-120">
              <a:effectLst/>
              <a:latin typeface="Calibri" panose="020F0502020204030204" pitchFamily="34" charset="0"/>
              <a:ea typeface="Courier New" panose="02070309020205020404" pitchFamily="49" charset="0"/>
            </a:rPr>
            <a:t> </a:t>
          </a:r>
          <a:r>
            <a:rPr lang="en-AU" sz="1100">
              <a:effectLst/>
              <a:latin typeface="Calibri" panose="020F0502020204030204" pitchFamily="34" charset="0"/>
              <a:ea typeface="Courier New" panose="02070309020205020404" pitchFamily="49" charset="0"/>
            </a:rPr>
            <a:t>+</a:t>
          </a:r>
          <a:endParaRPr lang="en-AU" sz="1100">
            <a:effectLst/>
            <a:latin typeface="Times New Roman" panose="02020603050405020304" pitchFamily="18" charset="0"/>
            <a:ea typeface="Courier New" panose="02070309020205020404" pitchFamily="49" charset="0"/>
          </a:endParaRPr>
        </a:p>
        <a:p>
          <a:pPr>
            <a:spcAft>
              <a:spcPts val="0"/>
            </a:spcAft>
          </a:pPr>
          <a:r>
            <a:rPr lang="en-AU" sz="1100">
              <a:effectLst/>
              <a:latin typeface="Calibri" panose="020F0502020204030204" pitchFamily="34" charset="0"/>
              <a:ea typeface="Times New Roman" panose="02020603050405020304" pitchFamily="18" charset="0"/>
            </a:rPr>
            <a:t>                                                                           APC (2020) + COGS (2020)</a:t>
          </a:r>
          <a:endParaRPr lang="en-AU" sz="1100">
            <a:effectLst/>
            <a:latin typeface="Times New Roman" panose="02020603050405020304" pitchFamily="18" charset="0"/>
            <a:ea typeface="Times New Roman" panose="02020603050405020304" pitchFamily="18" charset="0"/>
          </a:endParaRPr>
        </a:p>
        <a:p>
          <a:pPr marL="742950" lvl="1" indent="-285750">
            <a:spcAft>
              <a:spcPts val="0"/>
            </a:spcAft>
            <a:buSzPts val="1000"/>
            <a:buFont typeface="Courier New" panose="02070309020205020404" pitchFamily="49" charset="0"/>
            <a:buChar char="o"/>
            <a:tabLst>
              <a:tab pos="984885" algn="l"/>
              <a:tab pos="985520" algn="l"/>
            </a:tabLst>
          </a:pPr>
          <a:r>
            <a:rPr lang="en-AU" sz="1100">
              <a:effectLst/>
              <a:latin typeface="Calibri" panose="020F0502020204030204" pitchFamily="34" charset="0"/>
              <a:ea typeface="Courier New" panose="02070309020205020404" pitchFamily="49" charset="0"/>
            </a:rPr>
            <a:t>Operation Costs  (2021) = Labour Cost (2021) + FAOC (2021) + VUAOC(2021)</a:t>
          </a:r>
          <a:r>
            <a:rPr lang="en-AU" sz="1100" spc="-120">
              <a:effectLst/>
              <a:latin typeface="Calibri" panose="020F0502020204030204" pitchFamily="34" charset="0"/>
              <a:ea typeface="Courier New" panose="02070309020205020404" pitchFamily="49" charset="0"/>
            </a:rPr>
            <a:t> </a:t>
          </a:r>
          <a:r>
            <a:rPr lang="en-AU" sz="1100">
              <a:effectLst/>
              <a:latin typeface="Calibri" panose="020F0502020204030204" pitchFamily="34" charset="0"/>
              <a:ea typeface="Courier New" panose="02070309020205020404" pitchFamily="49" charset="0"/>
            </a:rPr>
            <a:t>+</a:t>
          </a:r>
          <a:endParaRPr lang="en-AU" sz="1100">
            <a:effectLst/>
            <a:latin typeface="Times New Roman" panose="02020603050405020304" pitchFamily="18" charset="0"/>
            <a:ea typeface="Courier New" panose="02070309020205020404" pitchFamily="49" charset="0"/>
          </a:endParaRPr>
        </a:p>
        <a:p>
          <a:pPr>
            <a:spcAft>
              <a:spcPts val="0"/>
            </a:spcAft>
          </a:pPr>
          <a:r>
            <a:rPr lang="en-AU" sz="1100">
              <a:effectLst/>
              <a:latin typeface="Calibri" panose="020F0502020204030204" pitchFamily="34" charset="0"/>
              <a:ea typeface="Times New Roman" panose="02020603050405020304" pitchFamily="18" charset="0"/>
            </a:rPr>
            <a:t>                                                                           APC (2021) + COGS (2021)</a:t>
          </a:r>
          <a:endParaRPr lang="en-AU" sz="1100">
            <a:effectLst/>
            <a:latin typeface="Times New Roman" panose="02020603050405020304" pitchFamily="18" charset="0"/>
            <a:ea typeface="Times New Roman" panose="02020603050405020304" pitchFamily="18" charset="0"/>
          </a:endParaRPr>
        </a:p>
        <a:p>
          <a:pPr>
            <a:spcAft>
              <a:spcPts val="0"/>
            </a:spcAft>
          </a:pPr>
          <a:r>
            <a:rPr lang="en-AU" sz="1100">
              <a:effectLst/>
              <a:latin typeface="Calibri" panose="020F0502020204030204" pitchFamily="34" charset="0"/>
              <a:ea typeface="Times New Roman" panose="02020603050405020304" pitchFamily="18" charset="0"/>
            </a:rPr>
            <a:t> </a:t>
          </a:r>
          <a:endParaRPr lang="en-AU" sz="1100">
            <a:effectLst/>
            <a:latin typeface="Times New Roman" panose="02020603050405020304" pitchFamily="18" charset="0"/>
            <a:ea typeface="Times New Roman" panose="02020603050405020304" pitchFamily="18" charset="0"/>
          </a:endParaRPr>
        </a:p>
        <a:p>
          <a:pPr marL="342900" lvl="0" indent="-342900">
            <a:spcAft>
              <a:spcPts val="0"/>
            </a:spcAft>
            <a:buSzPts val="1000"/>
            <a:buFont typeface="Symbol" panose="05050102010706020507" pitchFamily="18" charset="2"/>
            <a:buChar char=""/>
            <a:tabLst>
              <a:tab pos="1213485" algn="l"/>
              <a:tab pos="1214120" algn="l"/>
            </a:tabLst>
          </a:pPr>
          <a:r>
            <a:rPr lang="en-AU" sz="1100">
              <a:solidFill>
                <a:srgbClr val="002060"/>
              </a:solidFill>
              <a:effectLst/>
              <a:latin typeface="Calibri" panose="020F0502020204030204" pitchFamily="34" charset="0"/>
              <a:ea typeface="Symbol" panose="05050102010706020507" pitchFamily="18" charset="2"/>
              <a:cs typeface="Symbol" panose="05050102010706020507" pitchFamily="18" charset="2"/>
            </a:rPr>
            <a:t>Labour Cost</a:t>
          </a:r>
          <a:r>
            <a:rPr lang="en-AU" sz="1100">
              <a:effectLst/>
              <a:latin typeface="Calibri" panose="020F0502020204030204" pitchFamily="34" charset="0"/>
              <a:ea typeface="Symbol" panose="05050102010706020507" pitchFamily="18" charset="2"/>
              <a:cs typeface="Symbol" panose="05050102010706020507" pitchFamily="18" charset="2"/>
            </a:rPr>
            <a:t> = Staffing Level * Labour Cost for staff</a:t>
          </a:r>
          <a:r>
            <a:rPr lang="en-AU" sz="1100" spc="-105">
              <a:effectLst/>
              <a:latin typeface="Calibri" panose="020F0502020204030204" pitchFamily="34" charset="0"/>
              <a:ea typeface="Symbol" panose="05050102010706020507" pitchFamily="18" charset="2"/>
              <a:cs typeface="Symbol" panose="05050102010706020507" pitchFamily="18" charset="2"/>
            </a:rPr>
            <a:t> </a:t>
          </a:r>
          <a:r>
            <a:rPr lang="en-AU" sz="1100">
              <a:effectLst/>
              <a:latin typeface="Calibri" panose="020F0502020204030204" pitchFamily="34" charset="0"/>
              <a:ea typeface="Symbol" panose="05050102010706020507" pitchFamily="18" charset="2"/>
              <a:cs typeface="Symbol" panose="05050102010706020507" pitchFamily="18" charset="2"/>
            </a:rPr>
            <a:t>pa/person</a:t>
          </a:r>
          <a:endParaRPr lang="en-AU" sz="1100">
            <a:effectLst/>
            <a:latin typeface="Times New Roman" panose="02020603050405020304" pitchFamily="18" charset="0"/>
            <a:ea typeface="Symbol" panose="05050102010706020507" pitchFamily="18" charset="2"/>
            <a:cs typeface="Symbol" panose="05050102010706020507" pitchFamily="18" charset="2"/>
          </a:endParaRPr>
        </a:p>
        <a:p>
          <a:pPr marL="342900" lvl="0" indent="-342900">
            <a:spcAft>
              <a:spcPts val="0"/>
            </a:spcAft>
            <a:buSzPts val="1000"/>
            <a:buFont typeface="Symbol" panose="05050102010706020507" pitchFamily="18" charset="2"/>
            <a:buChar char=""/>
            <a:tabLst>
              <a:tab pos="1213485" algn="l"/>
              <a:tab pos="1214120" algn="l"/>
            </a:tabLst>
          </a:pPr>
          <a:r>
            <a:rPr lang="en-AU" sz="1100">
              <a:solidFill>
                <a:srgbClr val="002060"/>
              </a:solidFill>
              <a:effectLst/>
              <a:latin typeface="Calibri" panose="020F0502020204030204" pitchFamily="34" charset="0"/>
              <a:ea typeface="Symbol" panose="05050102010706020507" pitchFamily="18" charset="2"/>
              <a:cs typeface="Symbol" panose="05050102010706020507" pitchFamily="18" charset="2"/>
            </a:rPr>
            <a:t>FAOC</a:t>
          </a:r>
          <a:r>
            <a:rPr lang="en-AU" sz="1100" spc="190">
              <a:effectLst/>
              <a:latin typeface="Calibri" panose="020F0502020204030204" pitchFamily="34" charset="0"/>
              <a:ea typeface="Symbol" panose="05050102010706020507" pitchFamily="18" charset="2"/>
              <a:cs typeface="Symbol" panose="05050102010706020507" pitchFamily="18" charset="2"/>
            </a:rPr>
            <a:t> </a:t>
          </a:r>
          <a:r>
            <a:rPr lang="en-AU" sz="1100">
              <a:effectLst/>
              <a:latin typeface="Calibri" panose="020F0502020204030204" pitchFamily="34" charset="0"/>
              <a:ea typeface="Symbol" panose="05050102010706020507" pitchFamily="18" charset="2"/>
              <a:cs typeface="Symbol" panose="05050102010706020507" pitchFamily="18" charset="2"/>
            </a:rPr>
            <a:t>(given)</a:t>
          </a:r>
          <a:endParaRPr lang="en-AU" sz="1100">
            <a:effectLst/>
            <a:latin typeface="Times New Roman" panose="02020603050405020304" pitchFamily="18" charset="0"/>
            <a:ea typeface="Symbol" panose="05050102010706020507" pitchFamily="18" charset="2"/>
            <a:cs typeface="Symbol" panose="05050102010706020507" pitchFamily="18" charset="2"/>
          </a:endParaRPr>
        </a:p>
        <a:p>
          <a:pPr marL="342900" lvl="0" indent="-342900">
            <a:spcAft>
              <a:spcPts val="0"/>
            </a:spcAft>
            <a:buSzPts val="1000"/>
            <a:buFont typeface="Symbol" panose="05050102010706020507" pitchFamily="18" charset="2"/>
            <a:buChar char=""/>
            <a:tabLst>
              <a:tab pos="1213485" algn="l"/>
              <a:tab pos="1214120" algn="l"/>
            </a:tabLst>
          </a:pPr>
          <a:r>
            <a:rPr lang="en-AU" sz="1100">
              <a:solidFill>
                <a:srgbClr val="002060"/>
              </a:solidFill>
              <a:effectLst/>
              <a:latin typeface="Calibri" panose="020F0502020204030204" pitchFamily="34" charset="0"/>
              <a:ea typeface="Symbol" panose="05050102010706020507" pitchFamily="18" charset="2"/>
              <a:cs typeface="Symbol" panose="05050102010706020507" pitchFamily="18" charset="2"/>
            </a:rPr>
            <a:t>APC </a:t>
          </a:r>
          <a:r>
            <a:rPr lang="en-AU" sz="1100">
              <a:effectLst/>
              <a:latin typeface="Calibri" panose="020F0502020204030204" pitchFamily="34" charset="0"/>
              <a:ea typeface="Symbol" panose="05050102010706020507" pitchFamily="18" charset="2"/>
              <a:cs typeface="Symbol" panose="05050102010706020507" pitchFamily="18" charset="2"/>
            </a:rPr>
            <a:t>(given)</a:t>
          </a:r>
          <a:endParaRPr lang="en-AU" sz="1100">
            <a:effectLst/>
            <a:latin typeface="Times New Roman" panose="02020603050405020304" pitchFamily="18" charset="0"/>
            <a:ea typeface="Symbol" panose="05050102010706020507" pitchFamily="18" charset="2"/>
            <a:cs typeface="Symbol" panose="05050102010706020507" pitchFamily="18" charset="2"/>
          </a:endParaRPr>
        </a:p>
        <a:p>
          <a:pPr marL="342900" lvl="0" indent="-342900">
            <a:spcAft>
              <a:spcPts val="0"/>
            </a:spcAft>
            <a:buSzPts val="1000"/>
            <a:buFont typeface="Symbol" panose="05050102010706020507" pitchFamily="18" charset="2"/>
            <a:buChar char=""/>
            <a:tabLst>
              <a:tab pos="1213485" algn="l"/>
              <a:tab pos="1214120" algn="l"/>
            </a:tabLst>
          </a:pPr>
          <a:r>
            <a:rPr lang="en-AU" sz="1100">
              <a:solidFill>
                <a:srgbClr val="002060"/>
              </a:solidFill>
              <a:effectLst/>
              <a:latin typeface="Calibri" panose="020F0502020204030204" pitchFamily="34" charset="0"/>
              <a:ea typeface="Symbol" panose="05050102010706020507" pitchFamily="18" charset="2"/>
              <a:cs typeface="Symbol" panose="05050102010706020507" pitchFamily="18" charset="2"/>
            </a:rPr>
            <a:t>COGS</a:t>
          </a:r>
          <a:r>
            <a:rPr lang="en-AU" sz="1100">
              <a:effectLst/>
              <a:latin typeface="Calibri" panose="020F0502020204030204" pitchFamily="34" charset="0"/>
              <a:ea typeface="Symbol" panose="05050102010706020507" pitchFamily="18" charset="2"/>
              <a:cs typeface="Symbol" panose="05050102010706020507" pitchFamily="18" charset="2"/>
            </a:rPr>
            <a:t> = Actual Sales * Av wholesale cost</a:t>
          </a:r>
          <a:r>
            <a:rPr lang="en-AU" sz="1100" spc="-115">
              <a:effectLst/>
              <a:latin typeface="Calibri" panose="020F0502020204030204" pitchFamily="34" charset="0"/>
              <a:ea typeface="Symbol" panose="05050102010706020507" pitchFamily="18" charset="2"/>
              <a:cs typeface="Symbol" panose="05050102010706020507" pitchFamily="18" charset="2"/>
            </a:rPr>
            <a:t> </a:t>
          </a:r>
          <a:r>
            <a:rPr lang="en-AU" sz="1100">
              <a:effectLst/>
              <a:latin typeface="Calibri" panose="020F0502020204030204" pitchFamily="34" charset="0"/>
              <a:ea typeface="Symbol" panose="05050102010706020507" pitchFamily="18" charset="2"/>
              <a:cs typeface="Symbol" panose="05050102010706020507" pitchFamily="18" charset="2"/>
            </a:rPr>
            <a:t>($/item)</a:t>
          </a:r>
          <a:endParaRPr lang="en-AU" sz="1100">
            <a:effectLst/>
            <a:latin typeface="Times New Roman" panose="02020603050405020304" pitchFamily="18" charset="0"/>
            <a:ea typeface="Symbol" panose="05050102010706020507" pitchFamily="18" charset="2"/>
            <a:cs typeface="Symbol" panose="05050102010706020507" pitchFamily="18" charset="2"/>
          </a:endParaRPr>
        </a:p>
        <a:p>
          <a:pPr marL="342900" lvl="0" indent="-342900">
            <a:spcAft>
              <a:spcPts val="0"/>
            </a:spcAft>
            <a:buSzPts val="1000"/>
            <a:buFont typeface="Symbol" panose="05050102010706020507" pitchFamily="18" charset="2"/>
            <a:buChar char=""/>
            <a:tabLst>
              <a:tab pos="1213485" algn="l"/>
              <a:tab pos="1214120" algn="l"/>
            </a:tabLst>
          </a:pPr>
          <a:r>
            <a:rPr lang="en-AU" sz="1100">
              <a:solidFill>
                <a:srgbClr val="002060"/>
              </a:solidFill>
              <a:effectLst/>
              <a:latin typeface="Calibri" panose="020F0502020204030204" pitchFamily="34" charset="0"/>
              <a:ea typeface="Symbol" panose="05050102010706020507" pitchFamily="18" charset="2"/>
              <a:cs typeface="Symbol" panose="05050102010706020507" pitchFamily="18" charset="2"/>
            </a:rPr>
            <a:t>VUAOC</a:t>
          </a:r>
          <a:r>
            <a:rPr lang="en-AU" sz="1100">
              <a:effectLst/>
              <a:latin typeface="Calibri" panose="020F0502020204030204" pitchFamily="34" charset="0"/>
              <a:ea typeface="Symbol" panose="05050102010706020507" pitchFamily="18" charset="2"/>
              <a:cs typeface="Symbol" panose="05050102010706020507" pitchFamily="18" charset="2"/>
            </a:rPr>
            <a:t> = VUAOC Cost for Location * Total  Av inventories for</a:t>
          </a:r>
          <a:r>
            <a:rPr lang="en-AU" sz="1100" spc="-130">
              <a:effectLst/>
              <a:latin typeface="Calibri" panose="020F0502020204030204" pitchFamily="34" charset="0"/>
              <a:ea typeface="Symbol" panose="05050102010706020507" pitchFamily="18" charset="2"/>
              <a:cs typeface="Symbol" panose="05050102010706020507" pitchFamily="18" charset="2"/>
            </a:rPr>
            <a:t> </a:t>
          </a:r>
          <a:r>
            <a:rPr lang="en-AU" sz="1100">
              <a:effectLst/>
              <a:latin typeface="Calibri" panose="020F0502020204030204" pitchFamily="34" charset="0"/>
              <a:ea typeface="Symbol" panose="05050102010706020507" pitchFamily="18" charset="2"/>
              <a:cs typeface="Symbol" panose="05050102010706020507" pitchFamily="18" charset="2"/>
            </a:rPr>
            <a:t>Location</a:t>
          </a:r>
          <a:endParaRPr lang="en-AU" sz="1100">
            <a:effectLst/>
            <a:latin typeface="Times New Roman" panose="02020603050405020304" pitchFamily="18" charset="0"/>
            <a:ea typeface="Symbol" panose="05050102010706020507" pitchFamily="18" charset="2"/>
            <a:cs typeface="Symbol" panose="05050102010706020507" pitchFamily="18" charset="2"/>
          </a:endParaRPr>
        </a:p>
        <a:p>
          <a:pPr>
            <a:spcAft>
              <a:spcPts val="0"/>
            </a:spcAft>
          </a:pPr>
          <a:endParaRPr lang="en-AU" sz="1100">
            <a:effectLst/>
            <a:latin typeface="Calibri" panose="020F0502020204030204" pitchFamily="34" charset="0"/>
            <a:ea typeface="Times New Roman" panose="02020603050405020304" pitchFamily="18" charset="0"/>
          </a:endParaRPr>
        </a:p>
        <a:p>
          <a:pPr>
            <a:spcAft>
              <a:spcPts val="0"/>
            </a:spcAft>
          </a:pPr>
          <a:r>
            <a:rPr lang="en-AU" sz="1100" b="1">
              <a:solidFill>
                <a:srgbClr val="002060"/>
              </a:solidFill>
              <a:effectLst/>
              <a:latin typeface="Calibri" panose="020F0502020204030204" pitchFamily="34" charset="0"/>
              <a:ea typeface="Times New Roman" panose="02020603050405020304" pitchFamily="18" charset="0"/>
            </a:rPr>
            <a:t>Sales Performance</a:t>
          </a:r>
          <a:endParaRPr lang="en-AU" sz="1100">
            <a:effectLst/>
            <a:latin typeface="Times New Roman" panose="02020603050405020304" pitchFamily="18" charset="0"/>
            <a:ea typeface="Times New Roman" panose="02020603050405020304" pitchFamily="18" charset="0"/>
          </a:endParaRPr>
        </a:p>
        <a:p>
          <a:pPr marR="2227580">
            <a:spcAft>
              <a:spcPts val="0"/>
            </a:spcAft>
          </a:pPr>
          <a:r>
            <a:rPr lang="en-AU" sz="1100">
              <a:effectLst/>
              <a:latin typeface="Calibri" panose="020F0502020204030204" pitchFamily="34" charset="0"/>
              <a:ea typeface="Times New Roman" panose="02020603050405020304" pitchFamily="18" charset="0"/>
            </a:rPr>
            <a:t>Sales Performance = (Actual Sales - Sales Target) / Sales Target </a:t>
          </a:r>
        </a:p>
        <a:p>
          <a:pPr marR="2227580">
            <a:spcAft>
              <a:spcPts val="0"/>
            </a:spcAft>
          </a:pPr>
          <a:r>
            <a:rPr lang="en-AU" sz="1100">
              <a:effectLst/>
              <a:latin typeface="Calibri" panose="020F0502020204030204" pitchFamily="34" charset="0"/>
              <a:ea typeface="Times New Roman" panose="02020603050405020304" pitchFamily="18" charset="0"/>
            </a:rPr>
            <a:t>Revenue Contribution = Average Revenue / Total Average Revenue</a:t>
          </a:r>
          <a:endParaRPr lang="en-AU" sz="1100">
            <a:effectLst/>
            <a:latin typeface="Times New Roman" panose="02020603050405020304" pitchFamily="18" charset="0"/>
            <a:ea typeface="Times New Roman" panose="02020603050405020304" pitchFamily="18" charset="0"/>
          </a:endParaRPr>
        </a:p>
        <a:p>
          <a:pPr>
            <a:spcAft>
              <a:spcPts val="0"/>
            </a:spcAft>
          </a:pPr>
          <a:r>
            <a:rPr lang="en-AU" sz="1100">
              <a:effectLst/>
              <a:latin typeface="Calibri" panose="020F0502020204030204" pitchFamily="34" charset="0"/>
              <a:ea typeface="Times New Roman" panose="02020603050405020304" pitchFamily="18" charset="0"/>
            </a:rPr>
            <a:t>  </a:t>
          </a:r>
          <a:endParaRPr lang="en-AU" sz="1100">
            <a:effectLst/>
            <a:latin typeface="Times New Roman" panose="02020603050405020304" pitchFamily="18" charset="0"/>
            <a:ea typeface="Times New Roman" panose="02020603050405020304" pitchFamily="18" charset="0"/>
          </a:endParaRPr>
        </a:p>
        <a:p>
          <a:pPr>
            <a:spcAft>
              <a:spcPts val="0"/>
            </a:spcAft>
          </a:pPr>
          <a:r>
            <a:rPr lang="en-AU" sz="1100" b="1">
              <a:solidFill>
                <a:srgbClr val="002060"/>
              </a:solidFill>
              <a:effectLst/>
              <a:latin typeface="Calibri" panose="020F0502020204030204" pitchFamily="34" charset="0"/>
              <a:ea typeface="Times New Roman" panose="02020603050405020304" pitchFamily="18" charset="0"/>
            </a:rPr>
            <a:t>Maroochydore store Analysis</a:t>
          </a:r>
          <a:endParaRPr lang="en-AU" sz="1100">
            <a:effectLst/>
            <a:latin typeface="Times New Roman" panose="02020603050405020304" pitchFamily="18" charset="0"/>
            <a:ea typeface="Times New Roman" panose="02020603050405020304" pitchFamily="18" charset="0"/>
          </a:endParaRPr>
        </a:p>
        <a:p>
          <a:pPr>
            <a:spcAft>
              <a:spcPts val="0"/>
            </a:spcAft>
          </a:pPr>
          <a:r>
            <a:rPr lang="en-AU" sz="1100" u="none" strike="noStrike">
              <a:effectLst/>
              <a:latin typeface="Calibri" panose="020F0502020204030204" pitchFamily="34" charset="0"/>
              <a:ea typeface="Times New Roman" panose="02020603050405020304" pitchFamily="18" charset="0"/>
            </a:rPr>
            <a:t> </a:t>
          </a:r>
          <a:endParaRPr lang="en-AU" sz="1100">
            <a:effectLst/>
            <a:latin typeface="Times New Roman" panose="02020603050405020304" pitchFamily="18" charset="0"/>
            <a:ea typeface="Times New Roman" panose="02020603050405020304" pitchFamily="18" charset="0"/>
          </a:endParaRPr>
        </a:p>
        <a:p>
          <a:pPr>
            <a:spcAft>
              <a:spcPts val="0"/>
            </a:spcAft>
          </a:pPr>
          <a:r>
            <a:rPr lang="en-AU" sz="1100" u="sng">
              <a:effectLst/>
              <a:latin typeface="Calibri" panose="020F0502020204030204" pitchFamily="34" charset="0"/>
              <a:ea typeface="Times New Roman" panose="02020603050405020304" pitchFamily="18" charset="0"/>
            </a:rPr>
            <a:t>Assumptions:</a:t>
          </a:r>
          <a:endParaRPr lang="en-AU" sz="1100">
            <a:effectLst/>
            <a:latin typeface="Times New Roman" panose="02020603050405020304" pitchFamily="18" charset="0"/>
            <a:ea typeface="Times New Roman" panose="02020603050405020304" pitchFamily="18" charset="0"/>
          </a:endParaRPr>
        </a:p>
        <a:p>
          <a:pPr marL="342900" lvl="0" indent="-342900">
            <a:spcAft>
              <a:spcPts val="0"/>
            </a:spcAft>
            <a:buSzPts val="1200"/>
            <a:buFont typeface="Symbol" panose="05050102010706020507" pitchFamily="18" charset="2"/>
            <a:buChar char=""/>
            <a:tabLst>
              <a:tab pos="299720" algn="l"/>
              <a:tab pos="300355" algn="l"/>
            </a:tabLst>
          </a:pPr>
          <a:r>
            <a:rPr lang="en-AU" sz="1100">
              <a:effectLst/>
              <a:latin typeface="Calibri" panose="020F0502020204030204" pitchFamily="34" charset="0"/>
              <a:ea typeface="Symbol" panose="05050102010706020507" pitchFamily="18" charset="2"/>
              <a:cs typeface="Symbol" panose="05050102010706020507" pitchFamily="18" charset="2"/>
            </a:rPr>
            <a:t>The sales volumes and costs of the new Maroochydore outlet are expected to be similar to the Gold</a:t>
          </a:r>
          <a:r>
            <a:rPr lang="en-AU" sz="1100" spc="-15">
              <a:effectLst/>
              <a:latin typeface="Calibri" panose="020F0502020204030204" pitchFamily="34" charset="0"/>
              <a:ea typeface="Symbol" panose="05050102010706020507" pitchFamily="18" charset="2"/>
              <a:cs typeface="Symbol" panose="05050102010706020507" pitchFamily="18" charset="2"/>
            </a:rPr>
            <a:t> </a:t>
          </a:r>
          <a:r>
            <a:rPr lang="en-AU" sz="1100">
              <a:effectLst/>
              <a:latin typeface="Calibri" panose="020F0502020204030204" pitchFamily="34" charset="0"/>
              <a:ea typeface="Symbol" panose="05050102010706020507" pitchFamily="18" charset="2"/>
              <a:cs typeface="Symbol" panose="05050102010706020507" pitchFamily="18" charset="2"/>
            </a:rPr>
            <a:t>Coast.</a:t>
          </a:r>
          <a:endParaRPr lang="en-AU" sz="1100">
            <a:effectLst/>
            <a:latin typeface="Times New Roman" panose="02020603050405020304" pitchFamily="18" charset="0"/>
            <a:ea typeface="Symbol" panose="05050102010706020507" pitchFamily="18" charset="2"/>
            <a:cs typeface="Symbol" panose="05050102010706020507" pitchFamily="18" charset="2"/>
          </a:endParaRPr>
        </a:p>
        <a:p>
          <a:pPr marL="342900" lvl="0" indent="-342900">
            <a:spcAft>
              <a:spcPts val="0"/>
            </a:spcAft>
            <a:buSzPts val="1200"/>
            <a:buFont typeface="Symbol" panose="05050102010706020507" pitchFamily="18" charset="2"/>
            <a:buChar char=""/>
            <a:tabLst>
              <a:tab pos="299720" algn="l"/>
              <a:tab pos="300355" algn="l"/>
            </a:tabLst>
          </a:pPr>
          <a:r>
            <a:rPr lang="en-AU" sz="1100">
              <a:effectLst/>
              <a:latin typeface="Calibri" panose="020F0502020204030204" pitchFamily="34" charset="0"/>
              <a:ea typeface="Symbol" panose="05050102010706020507" pitchFamily="18" charset="2"/>
              <a:cs typeface="Symbol" panose="05050102010706020507" pitchFamily="18" charset="2"/>
            </a:rPr>
            <a:t>There is a establishment cost of $1 million. But</a:t>
          </a:r>
          <a:r>
            <a:rPr lang="en-AU" sz="1100" baseline="0">
              <a:effectLst/>
              <a:latin typeface="Calibri" panose="020F0502020204030204" pitchFamily="34" charset="0"/>
              <a:ea typeface="Symbol" panose="05050102010706020507" pitchFamily="18" charset="2"/>
              <a:cs typeface="Symbol" panose="05050102010706020507" pitchFamily="18" charset="2"/>
            </a:rPr>
            <a:t> financing through a 5 year Mbank loan. Annual loan payment is calculated using Financing Option  1</a:t>
          </a:r>
          <a:endParaRPr lang="en-AU" sz="1100">
            <a:effectLst/>
            <a:latin typeface="Times New Roman" panose="02020603050405020304" pitchFamily="18" charset="0"/>
            <a:ea typeface="Symbol" panose="05050102010706020507" pitchFamily="18" charset="2"/>
            <a:cs typeface="Symbol" panose="05050102010706020507" pitchFamily="18" charset="2"/>
          </a:endParaRPr>
        </a:p>
        <a:p>
          <a:pPr marL="342900" lvl="0" indent="-342900">
            <a:spcAft>
              <a:spcPts val="0"/>
            </a:spcAft>
            <a:buSzPts val="1200"/>
            <a:buFont typeface="Symbol" panose="05050102010706020507" pitchFamily="18" charset="2"/>
            <a:buChar char=""/>
            <a:tabLst>
              <a:tab pos="299720" algn="l"/>
              <a:tab pos="300355" algn="l"/>
            </a:tabLst>
          </a:pPr>
          <a:r>
            <a:rPr lang="en-AU" sz="1100">
              <a:effectLst/>
              <a:latin typeface="Calibri" panose="020F0502020204030204" pitchFamily="34" charset="0"/>
              <a:ea typeface="Symbol" panose="05050102010706020507" pitchFamily="18" charset="2"/>
              <a:cs typeface="Symbol" panose="05050102010706020507" pitchFamily="18" charset="2"/>
            </a:rPr>
            <a:t>The Forecast Income Statement for Maroochydore is similar to the Gold Coast with additional annual </a:t>
          </a:r>
          <a:r>
            <a:rPr lang="en-AU" sz="1100" baseline="0">
              <a:effectLst/>
              <a:latin typeface="Calibri" panose="020F0502020204030204" pitchFamily="34" charset="0"/>
              <a:ea typeface="Symbol" panose="05050102010706020507" pitchFamily="18" charset="2"/>
              <a:cs typeface="Symbol" panose="05050102010706020507" pitchFamily="18" charset="2"/>
            </a:rPr>
            <a:t> </a:t>
          </a:r>
          <a:r>
            <a:rPr lang="en-AU" sz="1100">
              <a:effectLst/>
              <a:latin typeface="Calibri" panose="020F0502020204030204" pitchFamily="34" charset="0"/>
              <a:ea typeface="Symbol" panose="05050102010706020507" pitchFamily="18" charset="2"/>
              <a:cs typeface="Symbol" panose="05050102010706020507" pitchFamily="18" charset="2"/>
            </a:rPr>
            <a:t>establishment cost (annual loan payment)</a:t>
          </a:r>
          <a:endParaRPr lang="en-AU" sz="1100">
            <a:effectLst/>
            <a:latin typeface="Times New Roman" panose="02020603050405020304" pitchFamily="18" charset="0"/>
            <a:ea typeface="Symbol" panose="05050102010706020507" pitchFamily="18" charset="2"/>
            <a:cs typeface="Symbol" panose="05050102010706020507" pitchFamily="18" charset="2"/>
          </a:endParaRPr>
        </a:p>
        <a:p>
          <a:pPr>
            <a:spcAft>
              <a:spcPts val="0"/>
            </a:spcAft>
          </a:pPr>
          <a:r>
            <a:rPr lang="en-AU" sz="1100">
              <a:effectLst/>
              <a:latin typeface="Calibri" panose="020F0502020204030204" pitchFamily="34" charset="0"/>
              <a:ea typeface="Times New Roman" panose="02020603050405020304" pitchFamily="18" charset="0"/>
            </a:rPr>
            <a:t> </a:t>
          </a:r>
          <a:endParaRPr lang="en-AU" sz="1100">
            <a:effectLst/>
            <a:latin typeface="Times New Roman" panose="02020603050405020304" pitchFamily="18" charset="0"/>
            <a:ea typeface="Times New Roman" panose="02020603050405020304" pitchFamily="18" charset="0"/>
          </a:endParaRPr>
        </a:p>
        <a:p>
          <a:pPr>
            <a:spcAft>
              <a:spcPts val="0"/>
            </a:spcAft>
          </a:pPr>
          <a:r>
            <a:rPr lang="en-AU" sz="1100">
              <a:solidFill>
                <a:srgbClr val="C00000"/>
              </a:solidFill>
              <a:effectLst/>
              <a:latin typeface="Calibri" panose="020F0502020204030204" pitchFamily="34" charset="0"/>
              <a:ea typeface="Times New Roman" panose="02020603050405020304" pitchFamily="18" charset="0"/>
            </a:rPr>
            <a:t>Scenario Analysis</a:t>
          </a:r>
          <a:endParaRPr lang="en-AU" sz="1100">
            <a:effectLst/>
            <a:latin typeface="Times New Roman" panose="02020603050405020304" pitchFamily="18" charset="0"/>
            <a:ea typeface="Times New Roman" panose="02020603050405020304" pitchFamily="18" charset="0"/>
          </a:endParaRPr>
        </a:p>
        <a:p>
          <a:r>
            <a:rPr lang="en-AU" sz="1100" b="1">
              <a:solidFill>
                <a:schemeClr val="dk1"/>
              </a:solidFill>
              <a:effectLst/>
              <a:latin typeface="+mn-lt"/>
              <a:ea typeface="+mn-ea"/>
              <a:cs typeface="+mn-cs"/>
            </a:rPr>
            <a:t>Scenario 1: </a:t>
          </a:r>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Setting staff level to 12 staff (1 Manager, 2 Admin Staff, 9 Sale Staff)</a:t>
          </a:r>
        </a:p>
        <a:p>
          <a:r>
            <a:rPr lang="en-AU" sz="1100">
              <a:solidFill>
                <a:schemeClr val="dk1"/>
              </a:solidFill>
              <a:effectLst/>
              <a:latin typeface="+mn-lt"/>
              <a:ea typeface="+mn-ea"/>
              <a:cs typeface="+mn-cs"/>
            </a:rPr>
            <a:t>Construct a forecast income statement for Maroochydore and varying revenue (0% growth, 10% decrease, 10% increase and 20% increase) AND</a:t>
          </a:r>
        </a:p>
        <a:p>
          <a:r>
            <a:rPr lang="en-AU" sz="1100" b="1">
              <a:solidFill>
                <a:schemeClr val="dk1"/>
              </a:solidFill>
              <a:effectLst/>
              <a:latin typeface="+mn-lt"/>
              <a:ea typeface="+mn-ea"/>
              <a:cs typeface="+mn-cs"/>
            </a:rPr>
            <a:t> </a:t>
          </a:r>
          <a:endParaRPr lang="en-AU" sz="1100">
            <a:solidFill>
              <a:schemeClr val="dk1"/>
            </a:solidFill>
            <a:effectLst/>
            <a:latin typeface="+mn-lt"/>
            <a:ea typeface="+mn-ea"/>
            <a:cs typeface="+mn-cs"/>
          </a:endParaRPr>
        </a:p>
        <a:p>
          <a:r>
            <a:rPr lang="en-AU" sz="1100" b="1">
              <a:solidFill>
                <a:schemeClr val="dk1"/>
              </a:solidFill>
              <a:effectLst/>
              <a:latin typeface="+mn-lt"/>
              <a:ea typeface="+mn-ea"/>
              <a:cs typeface="+mn-cs"/>
            </a:rPr>
            <a:t>Scenario 2: </a:t>
          </a:r>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Setting staff level to 6 staff (1 Manager, 1 Admin Staff, 4 Sale Staff) – 0% growth in revenue</a:t>
          </a:r>
        </a:p>
        <a:p>
          <a:r>
            <a:rPr lang="en-AU" sz="1100" b="1">
              <a:solidFill>
                <a:schemeClr val="dk1"/>
              </a:solidFill>
              <a:effectLst/>
              <a:latin typeface="+mn-lt"/>
              <a:ea typeface="+mn-ea"/>
              <a:cs typeface="+mn-cs"/>
            </a:rPr>
            <a:t> </a:t>
          </a:r>
          <a:endParaRPr lang="en-AU" sz="1100">
            <a:solidFill>
              <a:schemeClr val="dk1"/>
            </a:solidFill>
            <a:effectLst/>
            <a:latin typeface="+mn-lt"/>
            <a:ea typeface="+mn-ea"/>
            <a:cs typeface="+mn-cs"/>
          </a:endParaRPr>
        </a:p>
        <a:p>
          <a:r>
            <a:rPr lang="en-AU" sz="1100" b="1">
              <a:solidFill>
                <a:schemeClr val="dk1"/>
              </a:solidFill>
              <a:effectLst/>
              <a:latin typeface="+mn-lt"/>
              <a:ea typeface="+mn-ea"/>
              <a:cs typeface="+mn-cs"/>
            </a:rPr>
            <a:t>Scenario 3: </a:t>
          </a:r>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Setting staff level to 6 staff (1 Manager, 1 Admin Staff, 4 Sale Staff) – 5% growth in revenue with establishment cost.</a:t>
          </a:r>
        </a:p>
        <a:p>
          <a:r>
            <a:rPr lang="en-AU" sz="1100" b="1">
              <a:solidFill>
                <a:schemeClr val="dk1"/>
              </a:solidFill>
              <a:effectLst/>
              <a:latin typeface="+mn-lt"/>
              <a:ea typeface="+mn-ea"/>
              <a:cs typeface="+mn-cs"/>
            </a:rPr>
            <a:t> </a:t>
          </a:r>
          <a:endParaRPr lang="en-AU" sz="1100">
            <a:solidFill>
              <a:schemeClr val="dk1"/>
            </a:solidFill>
            <a:effectLst/>
            <a:latin typeface="+mn-lt"/>
            <a:ea typeface="+mn-ea"/>
            <a:cs typeface="+mn-cs"/>
          </a:endParaRPr>
        </a:p>
        <a:p>
          <a:r>
            <a:rPr lang="en-AU" sz="1100" b="1">
              <a:solidFill>
                <a:schemeClr val="dk1"/>
              </a:solidFill>
              <a:effectLst/>
              <a:latin typeface="+mn-lt"/>
              <a:ea typeface="+mn-ea"/>
              <a:cs typeface="+mn-cs"/>
            </a:rPr>
            <a:t>Scenario 4: </a:t>
          </a:r>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Setting staff level to 6 staff (1 Manager, 1 Admin Staff, 4 Sale Staff) – 10% growth in revenue with establishment </a:t>
          </a:r>
        </a:p>
        <a:p>
          <a:r>
            <a:rPr lang="en-AU" sz="1100" b="1">
              <a:solidFill>
                <a:schemeClr val="dk1"/>
              </a:solidFill>
              <a:effectLst/>
              <a:latin typeface="+mn-lt"/>
              <a:ea typeface="+mn-ea"/>
              <a:cs typeface="+mn-cs"/>
            </a:rPr>
            <a:t> </a:t>
          </a:r>
          <a:endParaRPr lang="en-AU" sz="1100">
            <a:solidFill>
              <a:schemeClr val="dk1"/>
            </a:solidFill>
            <a:effectLst/>
            <a:latin typeface="+mn-lt"/>
            <a:ea typeface="+mn-ea"/>
            <a:cs typeface="+mn-cs"/>
          </a:endParaRPr>
        </a:p>
        <a:p>
          <a:r>
            <a:rPr lang="en-AU" sz="1100" b="1">
              <a:solidFill>
                <a:schemeClr val="dk1"/>
              </a:solidFill>
              <a:effectLst/>
              <a:latin typeface="+mn-lt"/>
              <a:ea typeface="+mn-ea"/>
              <a:cs typeface="+mn-cs"/>
            </a:rPr>
            <a:t>(You can use other settings, but the interpretation MUST be based on scenarios of your setting)</a:t>
          </a:r>
          <a:r>
            <a:rPr lang="en-AU" sz="1100">
              <a:solidFill>
                <a:schemeClr val="dk1"/>
              </a:solidFill>
              <a:effectLst/>
              <a:latin typeface="+mn-lt"/>
              <a:ea typeface="+mn-ea"/>
              <a:cs typeface="+mn-cs"/>
            </a:rPr>
            <a:t> </a:t>
          </a:r>
        </a:p>
        <a:p>
          <a:pPr>
            <a:spcAft>
              <a:spcPts val="0"/>
            </a:spcAft>
          </a:pPr>
          <a:r>
            <a:rPr lang="en-AU" sz="1100">
              <a:effectLst/>
              <a:latin typeface="Calibri" panose="020F0502020204030204" pitchFamily="34" charset="0"/>
              <a:ea typeface="Times New Roman" panose="02020603050405020304" pitchFamily="18" charset="0"/>
            </a:rPr>
            <a:t> </a:t>
          </a:r>
          <a:endParaRPr lang="en-AU" sz="1100">
            <a:effectLst/>
            <a:latin typeface="Times New Roman" panose="02020603050405020304" pitchFamily="18" charset="0"/>
            <a:ea typeface="Times New Roman" panose="02020603050405020304" pitchFamily="18" charset="0"/>
          </a:endParaRPr>
        </a:p>
        <a:p>
          <a:r>
            <a:rPr lang="en-AU" sz="1100">
              <a:solidFill>
                <a:schemeClr val="dk1"/>
              </a:solidFill>
              <a:effectLst/>
              <a:latin typeface="+mn-lt"/>
              <a:ea typeface="+mn-ea"/>
              <a:cs typeface="+mn-cs"/>
            </a:rPr>
            <a:t>  </a:t>
          </a:r>
          <a:endParaRPr lang="en-AU">
            <a:effectLst/>
          </a:endParaRPr>
        </a:p>
        <a:p>
          <a:r>
            <a:rPr lang="en-AU" sz="1100" b="1">
              <a:solidFill>
                <a:srgbClr val="FF0000"/>
              </a:solidFill>
              <a:effectLst/>
              <a:latin typeface="+mn-lt"/>
              <a:ea typeface="+mn-ea"/>
              <a:cs typeface="+mn-cs"/>
            </a:rPr>
            <a:t>NOTE:</a:t>
          </a:r>
          <a:endParaRPr lang="en-AU" b="1">
            <a:solidFill>
              <a:srgbClr val="FF0000"/>
            </a:solidFill>
            <a:effectLst/>
          </a:endParaRPr>
        </a:p>
        <a:p>
          <a:r>
            <a:rPr lang="en-AU" sz="1100" b="1" i="1">
              <a:solidFill>
                <a:schemeClr val="dk1"/>
              </a:solidFill>
              <a:effectLst/>
              <a:latin typeface="+mn-lt"/>
              <a:ea typeface="+mn-ea"/>
              <a:cs typeface="+mn-cs"/>
            </a:rPr>
            <a:t>The power, interpretation and analysis of your results /findings are very must depends on the right types of graphs, charts, tables, what-if-analysis (goal seek, data tables, scenarios), and PIVOT table created.  </a:t>
          </a:r>
          <a:endParaRPr lang="en-AU">
            <a:effectLst/>
          </a:endParaRPr>
        </a:p>
        <a:p>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109098</xdr:colOff>
      <xdr:row>16</xdr:row>
      <xdr:rowOff>28204</xdr:rowOff>
    </xdr:from>
    <xdr:to>
      <xdr:col>14</xdr:col>
      <xdr:colOff>212285</xdr:colOff>
      <xdr:row>18</xdr:row>
      <xdr:rowOff>52017</xdr:rowOff>
    </xdr:to>
    <xdr:sp macro="" textlink="">
      <xdr:nvSpPr>
        <xdr:cNvPr id="3" name="TextBox 2">
          <a:extLst>
            <a:ext uri="{FF2B5EF4-FFF2-40B4-BE49-F238E27FC236}">
              <a16:creationId xmlns:a16="http://schemas.microsoft.com/office/drawing/2014/main" id="{4F7AAED1-DA49-4B3A-B6B5-76ADE9EE8262}"/>
            </a:ext>
          </a:extLst>
        </xdr:cNvPr>
        <xdr:cNvSpPr txBox="1"/>
      </xdr:nvSpPr>
      <xdr:spPr>
        <a:xfrm>
          <a:off x="6188885" y="2878949"/>
          <a:ext cx="2535102" cy="348068"/>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a:solidFill>
                <a:schemeClr val="bg1"/>
              </a:solidFill>
            </a:rPr>
            <a:t>BLACK</a:t>
          </a:r>
          <a:r>
            <a:rPr lang="en-US" sz="2000" baseline="0">
              <a:solidFill>
                <a:schemeClr val="bg1"/>
              </a:solidFill>
            </a:rPr>
            <a:t> BOX</a:t>
          </a:r>
          <a:endParaRPr lang="en-US" sz="2000">
            <a:solidFill>
              <a:schemeClr val="bg1"/>
            </a:solidFill>
          </a:endParaRPr>
        </a:p>
      </xdr:txBody>
    </xdr:sp>
    <xdr:clientData/>
  </xdr:twoCellAnchor>
  <xdr:twoCellAnchor>
    <xdr:from>
      <xdr:col>16</xdr:col>
      <xdr:colOff>139159</xdr:colOff>
      <xdr:row>8</xdr:row>
      <xdr:rowOff>85793</xdr:rowOff>
    </xdr:from>
    <xdr:to>
      <xdr:col>18</xdr:col>
      <xdr:colOff>421701</xdr:colOff>
      <xdr:row>9</xdr:row>
      <xdr:rowOff>141355</xdr:rowOff>
    </xdr:to>
    <xdr:sp macro="" textlink="">
      <xdr:nvSpPr>
        <xdr:cNvPr id="4" name="TextBox 3">
          <a:extLst>
            <a:ext uri="{FF2B5EF4-FFF2-40B4-BE49-F238E27FC236}">
              <a16:creationId xmlns:a16="http://schemas.microsoft.com/office/drawing/2014/main" id="{3C14C929-A6C6-4A12-A688-6A778D187450}"/>
            </a:ext>
          </a:extLst>
        </xdr:cNvPr>
        <xdr:cNvSpPr txBox="1"/>
      </xdr:nvSpPr>
      <xdr:spPr>
        <a:xfrm>
          <a:off x="9866819" y="1619250"/>
          <a:ext cx="1498499" cy="2379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i="0" u="none" strike="noStrike">
              <a:solidFill>
                <a:schemeClr val="dk1"/>
              </a:solidFill>
              <a:effectLst/>
              <a:latin typeface="+mn-lt"/>
              <a:ea typeface="+mn-ea"/>
              <a:cs typeface="+mn-cs"/>
            </a:rPr>
            <a:t>Net Profit before tax </a:t>
          </a:r>
          <a:r>
            <a:rPr lang="en-US" sz="1200"/>
            <a:t> </a:t>
          </a:r>
        </a:p>
      </xdr:txBody>
    </xdr:sp>
    <xdr:clientData/>
  </xdr:twoCellAnchor>
  <xdr:twoCellAnchor>
    <xdr:from>
      <xdr:col>4</xdr:col>
      <xdr:colOff>314714</xdr:colOff>
      <xdr:row>5</xdr:row>
      <xdr:rowOff>24575</xdr:rowOff>
    </xdr:from>
    <xdr:to>
      <xdr:col>8</xdr:col>
      <xdr:colOff>162127</xdr:colOff>
      <xdr:row>16</xdr:row>
      <xdr:rowOff>0</xdr:rowOff>
    </xdr:to>
    <xdr:sp macro="" textlink="">
      <xdr:nvSpPr>
        <xdr:cNvPr id="5" name="TextBox 4">
          <a:extLst>
            <a:ext uri="{FF2B5EF4-FFF2-40B4-BE49-F238E27FC236}">
              <a16:creationId xmlns:a16="http://schemas.microsoft.com/office/drawing/2014/main" id="{BECF257D-6367-49C8-84C9-2C52892ACB51}"/>
            </a:ext>
          </a:extLst>
        </xdr:cNvPr>
        <xdr:cNvSpPr txBox="1"/>
      </xdr:nvSpPr>
      <xdr:spPr>
        <a:xfrm>
          <a:off x="2746629" y="1071649"/>
          <a:ext cx="2279328" cy="17790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i="0" u="none" strike="noStrike">
              <a:solidFill>
                <a:schemeClr val="dk1"/>
              </a:solidFill>
              <a:effectLst/>
              <a:latin typeface="+mn-lt"/>
              <a:ea typeface="+mn-ea"/>
              <a:cs typeface="+mn-cs"/>
            </a:rPr>
            <a:t>Actual</a:t>
          </a:r>
          <a:r>
            <a:rPr lang="en-US" sz="1200" b="1" i="0" u="none" strike="noStrike" baseline="0">
              <a:solidFill>
                <a:schemeClr val="dk1"/>
              </a:solidFill>
              <a:effectLst/>
              <a:latin typeface="+mn-lt"/>
              <a:ea typeface="+mn-ea"/>
              <a:cs typeface="+mn-cs"/>
            </a:rPr>
            <a:t> Sales</a:t>
          </a:r>
        </a:p>
        <a:p>
          <a:pPr algn="l"/>
          <a:r>
            <a:rPr lang="en-US" sz="1200" b="1" i="0" u="none" strike="noStrike" baseline="0">
              <a:solidFill>
                <a:schemeClr val="dk1"/>
              </a:solidFill>
              <a:effectLst/>
              <a:latin typeface="+mn-lt"/>
              <a:ea typeface="+mn-ea"/>
              <a:cs typeface="+mn-cs"/>
            </a:rPr>
            <a:t>AV sales price</a:t>
          </a:r>
        </a:p>
        <a:p>
          <a:pPr algn="l"/>
          <a:r>
            <a:rPr lang="en-US" sz="1200" b="1" i="0" u="none" strike="noStrike" baseline="0">
              <a:solidFill>
                <a:schemeClr val="dk1"/>
              </a:solidFill>
              <a:effectLst/>
              <a:latin typeface="+mn-lt"/>
              <a:ea typeface="+mn-ea"/>
              <a:cs typeface="+mn-cs"/>
            </a:rPr>
            <a:t>Labour Cost for staff pa/person</a:t>
          </a:r>
        </a:p>
        <a:p>
          <a:pPr algn="l"/>
          <a:r>
            <a:rPr lang="en-US" sz="1200" b="1" i="0" u="none" strike="noStrike" baseline="0">
              <a:solidFill>
                <a:schemeClr val="dk1"/>
              </a:solidFill>
              <a:effectLst/>
              <a:latin typeface="+mn-lt"/>
              <a:ea typeface="+mn-ea"/>
              <a:cs typeface="+mn-cs"/>
            </a:rPr>
            <a:t>FAOC</a:t>
          </a:r>
        </a:p>
        <a:p>
          <a:pPr algn="l"/>
          <a:r>
            <a:rPr lang="en-US" sz="1200" b="1" i="0" u="none" strike="noStrike" baseline="0">
              <a:solidFill>
                <a:schemeClr val="dk1"/>
              </a:solidFill>
              <a:effectLst/>
              <a:latin typeface="+mn-lt"/>
              <a:ea typeface="+mn-ea"/>
              <a:cs typeface="+mn-cs"/>
            </a:rPr>
            <a:t>APC</a:t>
          </a:r>
        </a:p>
        <a:p>
          <a:pPr algn="l"/>
          <a:r>
            <a:rPr lang="en-US" sz="1200" b="1" i="0" u="none" strike="noStrike" baseline="0">
              <a:solidFill>
                <a:schemeClr val="dk1"/>
              </a:solidFill>
              <a:effectLst/>
              <a:latin typeface="+mn-lt"/>
              <a:ea typeface="+mn-ea"/>
              <a:cs typeface="+mn-cs"/>
            </a:rPr>
            <a:t>Staffing Level</a:t>
          </a:r>
        </a:p>
        <a:p>
          <a:pPr algn="l"/>
          <a:r>
            <a:rPr lang="en-US" sz="1200" b="1" i="0" u="none" strike="noStrike" baseline="0">
              <a:solidFill>
                <a:schemeClr val="dk1"/>
              </a:solidFill>
              <a:effectLst/>
              <a:latin typeface="+mn-lt"/>
              <a:ea typeface="+mn-ea"/>
              <a:cs typeface="+mn-cs"/>
            </a:rPr>
            <a:t>Av wholesale cost($/item)</a:t>
          </a:r>
        </a:p>
        <a:p>
          <a:pPr algn="l"/>
          <a:r>
            <a:rPr lang="en-US" sz="1200" b="1" i="0" u="none" strike="noStrike" baseline="0">
              <a:solidFill>
                <a:schemeClr val="dk1"/>
              </a:solidFill>
              <a:effectLst/>
              <a:latin typeface="+mn-lt"/>
              <a:ea typeface="+mn-ea"/>
              <a:cs typeface="+mn-cs"/>
            </a:rPr>
            <a:t>Total Av Inventories for Location</a:t>
          </a:r>
        </a:p>
        <a:p>
          <a:pPr algn="l"/>
          <a:endParaRPr lang="en-US" sz="1200"/>
        </a:p>
      </xdr:txBody>
    </xdr:sp>
    <xdr:clientData/>
  </xdr:twoCellAnchor>
  <xdr:twoCellAnchor>
    <xdr:from>
      <xdr:col>4</xdr:col>
      <xdr:colOff>547181</xdr:colOff>
      <xdr:row>24</xdr:row>
      <xdr:rowOff>31312</xdr:rowOff>
    </xdr:from>
    <xdr:to>
      <xdr:col>7</xdr:col>
      <xdr:colOff>599488</xdr:colOff>
      <xdr:row>25</xdr:row>
      <xdr:rowOff>81064</xdr:rowOff>
    </xdr:to>
    <xdr:sp macro="" textlink="">
      <xdr:nvSpPr>
        <xdr:cNvPr id="6" name="TextBox 5">
          <a:extLst>
            <a:ext uri="{FF2B5EF4-FFF2-40B4-BE49-F238E27FC236}">
              <a16:creationId xmlns:a16="http://schemas.microsoft.com/office/drawing/2014/main" id="{F7A29950-5A70-4E46-983E-145841C4D6C2}"/>
            </a:ext>
          </a:extLst>
        </xdr:cNvPr>
        <xdr:cNvSpPr txBox="1"/>
      </xdr:nvSpPr>
      <xdr:spPr>
        <a:xfrm>
          <a:off x="2979096" y="4179078"/>
          <a:ext cx="1876243" cy="2118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baseline="0">
              <a:solidFill>
                <a:schemeClr val="dk1"/>
              </a:solidFill>
              <a:effectLst/>
              <a:latin typeface="+mn-lt"/>
              <a:ea typeface="+mn-ea"/>
              <a:cs typeface="+mn-cs"/>
            </a:rPr>
            <a:t>VUAOC Cost for Location</a:t>
          </a:r>
          <a:endParaRPr lang="en-US">
            <a:effectLst/>
          </a:endParaRPr>
        </a:p>
      </xdr:txBody>
    </xdr:sp>
    <xdr:clientData/>
  </xdr:twoCellAnchor>
  <xdr:twoCellAnchor>
    <xdr:from>
      <xdr:col>16</xdr:col>
      <xdr:colOff>338</xdr:colOff>
      <xdr:row>23</xdr:row>
      <xdr:rowOff>14525</xdr:rowOff>
    </xdr:from>
    <xdr:to>
      <xdr:col>19</xdr:col>
      <xdr:colOff>11842</xdr:colOff>
      <xdr:row>28</xdr:row>
      <xdr:rowOff>97277</xdr:rowOff>
    </xdr:to>
    <xdr:sp macro="" textlink="">
      <xdr:nvSpPr>
        <xdr:cNvPr id="7" name="TextBox 6">
          <a:extLst>
            <a:ext uri="{FF2B5EF4-FFF2-40B4-BE49-F238E27FC236}">
              <a16:creationId xmlns:a16="http://schemas.microsoft.com/office/drawing/2014/main" id="{73010666-449D-4CA8-B3AE-E8376419ECDC}"/>
            </a:ext>
          </a:extLst>
        </xdr:cNvPr>
        <xdr:cNvSpPr txBox="1"/>
      </xdr:nvSpPr>
      <xdr:spPr>
        <a:xfrm>
          <a:off x="9727998" y="4000163"/>
          <a:ext cx="1835440" cy="8933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i="0" u="none" strike="noStrike">
              <a:solidFill>
                <a:schemeClr val="dk1"/>
              </a:solidFill>
              <a:effectLst/>
              <a:latin typeface="+mn-lt"/>
              <a:ea typeface="+mn-ea"/>
              <a:cs typeface="+mn-cs"/>
            </a:rPr>
            <a:t>Total</a:t>
          </a:r>
          <a:r>
            <a:rPr lang="en-US" sz="1200" b="1" i="0" u="none" strike="noStrike" baseline="0">
              <a:solidFill>
                <a:schemeClr val="dk1"/>
              </a:solidFill>
              <a:effectLst/>
              <a:latin typeface="+mn-lt"/>
              <a:ea typeface="+mn-ea"/>
              <a:cs typeface="+mn-cs"/>
            </a:rPr>
            <a:t> Revenue</a:t>
          </a:r>
        </a:p>
        <a:p>
          <a:pPr algn="l"/>
          <a:r>
            <a:rPr lang="en-US" sz="1200" b="1" i="0" u="none" strike="noStrike" baseline="0">
              <a:solidFill>
                <a:schemeClr val="dk1"/>
              </a:solidFill>
              <a:effectLst/>
              <a:latin typeface="+mn-lt"/>
              <a:ea typeface="+mn-ea"/>
              <a:cs typeface="+mn-cs"/>
            </a:rPr>
            <a:t>Total Operating Cost</a:t>
          </a:r>
        </a:p>
        <a:p>
          <a:pPr algn="l"/>
          <a:r>
            <a:rPr lang="en-US" sz="1200" b="1" i="0" u="none" strike="noStrike" baseline="0">
              <a:solidFill>
                <a:schemeClr val="dk1"/>
              </a:solidFill>
              <a:effectLst/>
              <a:latin typeface="+mn-lt"/>
              <a:ea typeface="+mn-ea"/>
              <a:cs typeface="+mn-cs"/>
            </a:rPr>
            <a:t>Labour Cost</a:t>
          </a:r>
        </a:p>
        <a:p>
          <a:pPr algn="l"/>
          <a:r>
            <a:rPr lang="en-US" sz="1200" b="1" i="0" u="none" strike="noStrike" baseline="0">
              <a:solidFill>
                <a:schemeClr val="dk1"/>
              </a:solidFill>
              <a:effectLst/>
              <a:latin typeface="+mn-lt"/>
              <a:ea typeface="+mn-ea"/>
              <a:cs typeface="+mn-cs"/>
            </a:rPr>
            <a:t>COGS</a:t>
          </a:r>
          <a:r>
            <a:rPr lang="en-US" sz="1200"/>
            <a:t> </a:t>
          </a:r>
        </a:p>
        <a:p>
          <a:pPr algn="l"/>
          <a:r>
            <a:rPr lang="en-US" sz="1200" b="1"/>
            <a:t>VUAOC</a:t>
          </a:r>
        </a:p>
      </xdr:txBody>
    </xdr:sp>
    <xdr:clientData/>
  </xdr:twoCellAnchor>
  <xdr:twoCellAnchor>
    <xdr:from>
      <xdr:col>8</xdr:col>
      <xdr:colOff>162127</xdr:colOff>
      <xdr:row>10</xdr:row>
      <xdr:rowOff>83218</xdr:rowOff>
    </xdr:from>
    <xdr:to>
      <xdr:col>10</xdr:col>
      <xdr:colOff>109098</xdr:colOff>
      <xdr:row>17</xdr:row>
      <xdr:rowOff>40111</xdr:rowOff>
    </xdr:to>
    <xdr:cxnSp macro="">
      <xdr:nvCxnSpPr>
        <xdr:cNvPr id="9" name="Straight Arrow Connector 8">
          <a:extLst>
            <a:ext uri="{FF2B5EF4-FFF2-40B4-BE49-F238E27FC236}">
              <a16:creationId xmlns:a16="http://schemas.microsoft.com/office/drawing/2014/main" id="{9023C8CA-1ED6-45B8-AEBC-691F02249160}"/>
            </a:ext>
          </a:extLst>
        </xdr:cNvPr>
        <xdr:cNvCxnSpPr>
          <a:stCxn id="5" idx="3"/>
          <a:endCxn id="3" idx="1"/>
        </xdr:cNvCxnSpPr>
      </xdr:nvCxnSpPr>
      <xdr:spPr bwMode="auto">
        <a:xfrm>
          <a:off x="5025957" y="1961197"/>
          <a:ext cx="1162928" cy="1091786"/>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7</xdr:col>
      <xdr:colOff>599488</xdr:colOff>
      <xdr:row>17</xdr:row>
      <xdr:rowOff>40111</xdr:rowOff>
    </xdr:from>
    <xdr:to>
      <xdr:col>10</xdr:col>
      <xdr:colOff>109098</xdr:colOff>
      <xdr:row>24</xdr:row>
      <xdr:rowOff>137252</xdr:rowOff>
    </xdr:to>
    <xdr:cxnSp macro="">
      <xdr:nvCxnSpPr>
        <xdr:cNvPr id="12" name="Straight Arrow Connector 11">
          <a:extLst>
            <a:ext uri="{FF2B5EF4-FFF2-40B4-BE49-F238E27FC236}">
              <a16:creationId xmlns:a16="http://schemas.microsoft.com/office/drawing/2014/main" id="{A3AD0CF6-7D3F-4DC6-B7AD-169CEBB6930E}"/>
            </a:ext>
          </a:extLst>
        </xdr:cNvPr>
        <xdr:cNvCxnSpPr>
          <a:stCxn id="6" idx="3"/>
          <a:endCxn id="3" idx="1"/>
        </xdr:cNvCxnSpPr>
      </xdr:nvCxnSpPr>
      <xdr:spPr bwMode="auto">
        <a:xfrm flipV="1">
          <a:off x="4855339" y="3052983"/>
          <a:ext cx="1333546" cy="1232035"/>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14</xdr:col>
      <xdr:colOff>212285</xdr:colOff>
      <xdr:row>17</xdr:row>
      <xdr:rowOff>40111</xdr:rowOff>
    </xdr:from>
    <xdr:to>
      <xdr:col>16</xdr:col>
      <xdr:colOff>338</xdr:colOff>
      <xdr:row>25</xdr:row>
      <xdr:rowOff>136965</xdr:rowOff>
    </xdr:to>
    <xdr:cxnSp macro="">
      <xdr:nvCxnSpPr>
        <xdr:cNvPr id="14" name="Straight Arrow Connector 13">
          <a:extLst>
            <a:ext uri="{FF2B5EF4-FFF2-40B4-BE49-F238E27FC236}">
              <a16:creationId xmlns:a16="http://schemas.microsoft.com/office/drawing/2014/main" id="{EAE6E48D-B2C9-4FDF-A575-DE35B8FD160A}"/>
            </a:ext>
          </a:extLst>
        </xdr:cNvPr>
        <xdr:cNvCxnSpPr>
          <a:stCxn id="7" idx="1"/>
          <a:endCxn id="3" idx="3"/>
        </xdr:cNvCxnSpPr>
      </xdr:nvCxnSpPr>
      <xdr:spPr bwMode="auto">
        <a:xfrm flipH="1" flipV="1">
          <a:off x="8723987" y="3052983"/>
          <a:ext cx="1004011" cy="1393876"/>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14</xdr:col>
      <xdr:colOff>212285</xdr:colOff>
      <xdr:row>9</xdr:row>
      <xdr:rowOff>22377</xdr:rowOff>
    </xdr:from>
    <xdr:to>
      <xdr:col>16</xdr:col>
      <xdr:colOff>139159</xdr:colOff>
      <xdr:row>17</xdr:row>
      <xdr:rowOff>40111</xdr:rowOff>
    </xdr:to>
    <xdr:cxnSp macro="">
      <xdr:nvCxnSpPr>
        <xdr:cNvPr id="16" name="Straight Arrow Connector 15">
          <a:extLst>
            <a:ext uri="{FF2B5EF4-FFF2-40B4-BE49-F238E27FC236}">
              <a16:creationId xmlns:a16="http://schemas.microsoft.com/office/drawing/2014/main" id="{6666AAB9-0328-43F4-A3EE-E331CDA1FF49}"/>
            </a:ext>
          </a:extLst>
        </xdr:cNvPr>
        <xdr:cNvCxnSpPr>
          <a:stCxn id="4" idx="1"/>
          <a:endCxn id="3" idx="3"/>
        </xdr:cNvCxnSpPr>
      </xdr:nvCxnSpPr>
      <xdr:spPr bwMode="auto">
        <a:xfrm flipH="1">
          <a:off x="8723987" y="1738228"/>
          <a:ext cx="1142832" cy="1314755"/>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354541</xdr:colOff>
      <xdr:row>1</xdr:row>
      <xdr:rowOff>79375</xdr:rowOff>
    </xdr:from>
    <xdr:to>
      <xdr:col>8</xdr:col>
      <xdr:colOff>27415</xdr:colOff>
      <xdr:row>2</xdr:row>
      <xdr:rowOff>158581</xdr:rowOff>
    </xdr:to>
    <xdr:sp macro="" textlink="">
      <xdr:nvSpPr>
        <xdr:cNvPr id="2" name="TextBox 1">
          <a:extLst>
            <a:ext uri="{FF2B5EF4-FFF2-40B4-BE49-F238E27FC236}">
              <a16:creationId xmlns:a16="http://schemas.microsoft.com/office/drawing/2014/main" id="{0E9EE0EA-E096-41AA-A0B2-6EAE48FF6F3B}"/>
            </a:ext>
          </a:extLst>
        </xdr:cNvPr>
        <xdr:cNvSpPr txBox="1"/>
      </xdr:nvSpPr>
      <xdr:spPr>
        <a:xfrm>
          <a:off x="3397249" y="238125"/>
          <a:ext cx="1498499" cy="2379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i="0" u="none" strike="noStrike">
              <a:solidFill>
                <a:schemeClr val="dk1"/>
              </a:solidFill>
              <a:effectLst/>
              <a:latin typeface="+mn-lt"/>
              <a:ea typeface="+mn-ea"/>
              <a:cs typeface="+mn-cs"/>
            </a:rPr>
            <a:t>Net Profit before tax </a:t>
          </a:r>
          <a:r>
            <a:rPr lang="en-US" sz="1200"/>
            <a:t> </a:t>
          </a:r>
        </a:p>
      </xdr:txBody>
    </xdr:sp>
    <xdr:clientData/>
  </xdr:twoCellAnchor>
  <xdr:twoCellAnchor>
    <xdr:from>
      <xdr:col>1</xdr:col>
      <xdr:colOff>31749</xdr:colOff>
      <xdr:row>7</xdr:row>
      <xdr:rowOff>5294</xdr:rowOff>
    </xdr:from>
    <xdr:to>
      <xdr:col>2</xdr:col>
      <xdr:colOff>566208</xdr:colOff>
      <xdr:row>8</xdr:row>
      <xdr:rowOff>95252</xdr:rowOff>
    </xdr:to>
    <xdr:sp macro="" textlink="">
      <xdr:nvSpPr>
        <xdr:cNvPr id="4" name="TextBox 3">
          <a:extLst>
            <a:ext uri="{FF2B5EF4-FFF2-40B4-BE49-F238E27FC236}">
              <a16:creationId xmlns:a16="http://schemas.microsoft.com/office/drawing/2014/main" id="{C009AE36-E2C4-4BDB-9D3E-B8C15A0086F7}"/>
            </a:ext>
          </a:extLst>
        </xdr:cNvPr>
        <xdr:cNvSpPr txBox="1"/>
      </xdr:nvSpPr>
      <xdr:spPr>
        <a:xfrm>
          <a:off x="640291" y="1116544"/>
          <a:ext cx="1143000" cy="2487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i="0" u="none" strike="noStrike">
              <a:solidFill>
                <a:schemeClr val="dk1"/>
              </a:solidFill>
              <a:effectLst/>
              <a:latin typeface="+mn-lt"/>
              <a:ea typeface="+mn-ea"/>
              <a:cs typeface="+mn-cs"/>
            </a:rPr>
            <a:t>Total</a:t>
          </a:r>
          <a:r>
            <a:rPr lang="en-US" sz="1200" b="1" i="0" u="none" strike="noStrike" baseline="0">
              <a:solidFill>
                <a:schemeClr val="dk1"/>
              </a:solidFill>
              <a:effectLst/>
              <a:latin typeface="+mn-lt"/>
              <a:ea typeface="+mn-ea"/>
              <a:cs typeface="+mn-cs"/>
            </a:rPr>
            <a:t> Revenue</a:t>
          </a:r>
        </a:p>
      </xdr:txBody>
    </xdr:sp>
    <xdr:clientData/>
  </xdr:twoCellAnchor>
  <xdr:twoCellAnchor>
    <xdr:from>
      <xdr:col>9</xdr:col>
      <xdr:colOff>194733</xdr:colOff>
      <xdr:row>6</xdr:row>
      <xdr:rowOff>51858</xdr:rowOff>
    </xdr:from>
    <xdr:to>
      <xdr:col>11</xdr:col>
      <xdr:colOff>566208</xdr:colOff>
      <xdr:row>7</xdr:row>
      <xdr:rowOff>158749</xdr:rowOff>
    </xdr:to>
    <xdr:sp macro="" textlink="">
      <xdr:nvSpPr>
        <xdr:cNvPr id="5" name="TextBox 4">
          <a:extLst>
            <a:ext uri="{FF2B5EF4-FFF2-40B4-BE49-F238E27FC236}">
              <a16:creationId xmlns:a16="http://schemas.microsoft.com/office/drawing/2014/main" id="{EB69F384-4AC6-4B59-A33B-E99FA66BB08E}"/>
            </a:ext>
          </a:extLst>
        </xdr:cNvPr>
        <xdr:cNvSpPr txBox="1"/>
      </xdr:nvSpPr>
      <xdr:spPr>
        <a:xfrm>
          <a:off x="5671608" y="1004358"/>
          <a:ext cx="1588558" cy="2656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i="0" u="none" strike="noStrike" baseline="0">
              <a:solidFill>
                <a:schemeClr val="dk1"/>
              </a:solidFill>
              <a:effectLst/>
              <a:latin typeface="+mn-lt"/>
              <a:ea typeface="+mn-ea"/>
              <a:cs typeface="+mn-cs"/>
            </a:rPr>
            <a:t>Total Operating Cost</a:t>
          </a:r>
        </a:p>
      </xdr:txBody>
    </xdr:sp>
    <xdr:clientData/>
  </xdr:twoCellAnchor>
  <xdr:twoCellAnchor>
    <xdr:from>
      <xdr:col>9</xdr:col>
      <xdr:colOff>560929</xdr:colOff>
      <xdr:row>13</xdr:row>
      <xdr:rowOff>74082</xdr:rowOff>
    </xdr:from>
    <xdr:to>
      <xdr:col>11</xdr:col>
      <xdr:colOff>285763</xdr:colOff>
      <xdr:row>14</xdr:row>
      <xdr:rowOff>148165</xdr:rowOff>
    </xdr:to>
    <xdr:sp macro="" textlink="">
      <xdr:nvSpPr>
        <xdr:cNvPr id="6" name="TextBox 5">
          <a:extLst>
            <a:ext uri="{FF2B5EF4-FFF2-40B4-BE49-F238E27FC236}">
              <a16:creationId xmlns:a16="http://schemas.microsoft.com/office/drawing/2014/main" id="{E497CBBC-5BC7-4D17-9811-DCABC19CCA8B}"/>
            </a:ext>
          </a:extLst>
        </xdr:cNvPr>
        <xdr:cNvSpPr txBox="1"/>
      </xdr:nvSpPr>
      <xdr:spPr>
        <a:xfrm>
          <a:off x="6037804" y="2137832"/>
          <a:ext cx="941917" cy="2328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i="0" u="none" strike="noStrike" baseline="0">
              <a:solidFill>
                <a:schemeClr val="dk1"/>
              </a:solidFill>
              <a:effectLst/>
              <a:latin typeface="+mn-lt"/>
              <a:ea typeface="+mn-ea"/>
              <a:cs typeface="+mn-cs"/>
            </a:rPr>
            <a:t>Labour Cost</a:t>
          </a:r>
        </a:p>
      </xdr:txBody>
    </xdr:sp>
    <xdr:clientData/>
  </xdr:twoCellAnchor>
  <xdr:twoCellAnchor>
    <xdr:from>
      <xdr:col>2</xdr:col>
      <xdr:colOff>576792</xdr:colOff>
      <xdr:row>17</xdr:row>
      <xdr:rowOff>148172</xdr:rowOff>
    </xdr:from>
    <xdr:to>
      <xdr:col>4</xdr:col>
      <xdr:colOff>354541</xdr:colOff>
      <xdr:row>19</xdr:row>
      <xdr:rowOff>89964</xdr:rowOff>
    </xdr:to>
    <xdr:sp macro="" textlink="">
      <xdr:nvSpPr>
        <xdr:cNvPr id="7" name="TextBox 6">
          <a:extLst>
            <a:ext uri="{FF2B5EF4-FFF2-40B4-BE49-F238E27FC236}">
              <a16:creationId xmlns:a16="http://schemas.microsoft.com/office/drawing/2014/main" id="{9742290E-6B64-41ED-B3EC-E3EC27EBF827}"/>
            </a:ext>
          </a:extLst>
        </xdr:cNvPr>
        <xdr:cNvSpPr txBox="1"/>
      </xdr:nvSpPr>
      <xdr:spPr>
        <a:xfrm>
          <a:off x="1793875" y="2846922"/>
          <a:ext cx="994833" cy="2592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i="0" u="none" strike="noStrike">
              <a:solidFill>
                <a:schemeClr val="dk1"/>
              </a:solidFill>
              <a:effectLst/>
              <a:latin typeface="+mn-lt"/>
              <a:ea typeface="+mn-ea"/>
              <a:cs typeface="+mn-cs"/>
            </a:rPr>
            <a:t>Actual</a:t>
          </a:r>
          <a:r>
            <a:rPr lang="en-US" sz="1200" b="1" i="0" u="none" strike="noStrike" baseline="0">
              <a:solidFill>
                <a:schemeClr val="dk1"/>
              </a:solidFill>
              <a:effectLst/>
              <a:latin typeface="+mn-lt"/>
              <a:ea typeface="+mn-ea"/>
              <a:cs typeface="+mn-cs"/>
            </a:rPr>
            <a:t> Sales</a:t>
          </a:r>
        </a:p>
        <a:p>
          <a:pPr algn="l"/>
          <a:endParaRPr lang="en-US" sz="1200" b="1" i="0" u="none" strike="noStrike" baseline="0">
            <a:solidFill>
              <a:schemeClr val="dk1"/>
            </a:solidFill>
            <a:effectLst/>
            <a:latin typeface="+mn-lt"/>
            <a:ea typeface="+mn-ea"/>
            <a:cs typeface="+mn-cs"/>
          </a:endParaRPr>
        </a:p>
        <a:p>
          <a:pPr algn="l"/>
          <a:endParaRPr lang="en-US" sz="1200" b="1" i="0" u="none" strike="noStrike" baseline="0">
            <a:solidFill>
              <a:schemeClr val="dk1"/>
            </a:solidFill>
            <a:effectLst/>
            <a:latin typeface="+mn-lt"/>
            <a:ea typeface="+mn-ea"/>
            <a:cs typeface="+mn-cs"/>
          </a:endParaRPr>
        </a:p>
        <a:p>
          <a:pPr algn="l"/>
          <a:endParaRPr lang="en-US" sz="1200"/>
        </a:p>
      </xdr:txBody>
    </xdr:sp>
    <xdr:clientData/>
  </xdr:twoCellAnchor>
  <xdr:twoCellAnchor>
    <xdr:from>
      <xdr:col>0</xdr:col>
      <xdr:colOff>132292</xdr:colOff>
      <xdr:row>22</xdr:row>
      <xdr:rowOff>37046</xdr:rowOff>
    </xdr:from>
    <xdr:to>
      <xdr:col>1</xdr:col>
      <xdr:colOff>592666</xdr:colOff>
      <xdr:row>23</xdr:row>
      <xdr:rowOff>142879</xdr:rowOff>
    </xdr:to>
    <xdr:sp macro="" textlink="">
      <xdr:nvSpPr>
        <xdr:cNvPr id="8" name="TextBox 7">
          <a:extLst>
            <a:ext uri="{FF2B5EF4-FFF2-40B4-BE49-F238E27FC236}">
              <a16:creationId xmlns:a16="http://schemas.microsoft.com/office/drawing/2014/main" id="{ED1E9F08-6F0A-44E2-BE86-AD13E4A9800F}"/>
            </a:ext>
          </a:extLst>
        </xdr:cNvPr>
        <xdr:cNvSpPr txBox="1"/>
      </xdr:nvSpPr>
      <xdr:spPr>
        <a:xfrm>
          <a:off x="132292" y="3529546"/>
          <a:ext cx="1068916" cy="2645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i="0" u="none" strike="noStrike" baseline="0">
              <a:solidFill>
                <a:schemeClr val="dk1"/>
              </a:solidFill>
              <a:effectLst/>
              <a:latin typeface="+mn-lt"/>
              <a:ea typeface="+mn-ea"/>
              <a:cs typeface="+mn-cs"/>
            </a:rPr>
            <a:t>AV sales price</a:t>
          </a:r>
        </a:p>
      </xdr:txBody>
    </xdr:sp>
    <xdr:clientData/>
  </xdr:twoCellAnchor>
  <xdr:twoCellAnchor>
    <xdr:from>
      <xdr:col>5</xdr:col>
      <xdr:colOff>284697</xdr:colOff>
      <xdr:row>13</xdr:row>
      <xdr:rowOff>88904</xdr:rowOff>
    </xdr:from>
    <xdr:to>
      <xdr:col>6</xdr:col>
      <xdr:colOff>312213</xdr:colOff>
      <xdr:row>15</xdr:row>
      <xdr:rowOff>31754</xdr:rowOff>
    </xdr:to>
    <xdr:sp macro="" textlink="">
      <xdr:nvSpPr>
        <xdr:cNvPr id="9" name="TextBox 8">
          <a:extLst>
            <a:ext uri="{FF2B5EF4-FFF2-40B4-BE49-F238E27FC236}">
              <a16:creationId xmlns:a16="http://schemas.microsoft.com/office/drawing/2014/main" id="{06EFFED7-0FB3-4175-AB4E-DD8E3235CEAF}"/>
            </a:ext>
          </a:extLst>
        </xdr:cNvPr>
        <xdr:cNvSpPr txBox="1"/>
      </xdr:nvSpPr>
      <xdr:spPr>
        <a:xfrm>
          <a:off x="3327405" y="2152654"/>
          <a:ext cx="636058" cy="260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i="0" u="none" strike="noStrike" baseline="0">
              <a:solidFill>
                <a:schemeClr val="dk1"/>
              </a:solidFill>
              <a:effectLst/>
              <a:latin typeface="+mn-lt"/>
              <a:ea typeface="+mn-ea"/>
              <a:cs typeface="+mn-cs"/>
            </a:rPr>
            <a:t>COGS</a:t>
          </a:r>
          <a:r>
            <a:rPr lang="en-US" sz="1200"/>
            <a:t> </a:t>
          </a:r>
        </a:p>
      </xdr:txBody>
    </xdr:sp>
    <xdr:clientData/>
  </xdr:twoCellAnchor>
  <xdr:twoCellAnchor>
    <xdr:from>
      <xdr:col>14</xdr:col>
      <xdr:colOff>486844</xdr:colOff>
      <xdr:row>13</xdr:row>
      <xdr:rowOff>68793</xdr:rowOff>
    </xdr:from>
    <xdr:to>
      <xdr:col>15</xdr:col>
      <xdr:colOff>535426</xdr:colOff>
      <xdr:row>14</xdr:row>
      <xdr:rowOff>151546</xdr:rowOff>
    </xdr:to>
    <xdr:sp macro="" textlink="">
      <xdr:nvSpPr>
        <xdr:cNvPr id="10" name="TextBox 9">
          <a:extLst>
            <a:ext uri="{FF2B5EF4-FFF2-40B4-BE49-F238E27FC236}">
              <a16:creationId xmlns:a16="http://schemas.microsoft.com/office/drawing/2014/main" id="{8B2326F3-31DA-4890-8E19-DDE5707278B5}"/>
            </a:ext>
          </a:extLst>
        </xdr:cNvPr>
        <xdr:cNvSpPr txBox="1"/>
      </xdr:nvSpPr>
      <xdr:spPr>
        <a:xfrm>
          <a:off x="9006427" y="2132543"/>
          <a:ext cx="657124" cy="2415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i="0" baseline="0">
              <a:solidFill>
                <a:schemeClr val="dk1"/>
              </a:solidFill>
              <a:effectLst/>
              <a:latin typeface="+mn-lt"/>
              <a:ea typeface="+mn-ea"/>
              <a:cs typeface="+mn-cs"/>
            </a:rPr>
            <a:t>VUAOC</a:t>
          </a:r>
          <a:endParaRPr lang="en-US" sz="1200"/>
        </a:p>
      </xdr:txBody>
    </xdr:sp>
    <xdr:clientData/>
  </xdr:twoCellAnchor>
  <xdr:twoCellAnchor>
    <xdr:from>
      <xdr:col>8</xdr:col>
      <xdr:colOff>10590</xdr:colOff>
      <xdr:row>13</xdr:row>
      <xdr:rowOff>58212</xdr:rowOff>
    </xdr:from>
    <xdr:to>
      <xdr:col>8</xdr:col>
      <xdr:colOff>555631</xdr:colOff>
      <xdr:row>15</xdr:row>
      <xdr:rowOff>15878</xdr:rowOff>
    </xdr:to>
    <xdr:sp macro="" textlink="">
      <xdr:nvSpPr>
        <xdr:cNvPr id="12" name="TextBox 11">
          <a:extLst>
            <a:ext uri="{FF2B5EF4-FFF2-40B4-BE49-F238E27FC236}">
              <a16:creationId xmlns:a16="http://schemas.microsoft.com/office/drawing/2014/main" id="{FCD0B954-AB1C-4AA5-ACC7-CAB86BDB585F}"/>
            </a:ext>
          </a:extLst>
        </xdr:cNvPr>
        <xdr:cNvSpPr txBox="1"/>
      </xdr:nvSpPr>
      <xdr:spPr>
        <a:xfrm>
          <a:off x="4878923" y="2121962"/>
          <a:ext cx="545041" cy="2751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i="0" u="none" strike="noStrike" baseline="0">
              <a:solidFill>
                <a:schemeClr val="dk1"/>
              </a:solidFill>
              <a:effectLst/>
              <a:latin typeface="+mn-lt"/>
              <a:ea typeface="+mn-ea"/>
              <a:cs typeface="+mn-cs"/>
            </a:rPr>
            <a:t>FAOC</a:t>
          </a:r>
        </a:p>
        <a:p>
          <a:pPr algn="l"/>
          <a:endParaRPr lang="en-US" sz="1200" b="1" i="0" u="none" strike="noStrike" baseline="0">
            <a:solidFill>
              <a:schemeClr val="dk1"/>
            </a:solidFill>
            <a:effectLst/>
            <a:latin typeface="+mn-lt"/>
            <a:ea typeface="+mn-ea"/>
            <a:cs typeface="+mn-cs"/>
          </a:endParaRPr>
        </a:p>
        <a:p>
          <a:pPr algn="l"/>
          <a:endParaRPr lang="en-US" sz="1200" b="1" i="0" u="none" strike="noStrike" baseline="0">
            <a:solidFill>
              <a:schemeClr val="dk1"/>
            </a:solidFill>
            <a:effectLst/>
            <a:latin typeface="+mn-lt"/>
            <a:ea typeface="+mn-ea"/>
            <a:cs typeface="+mn-cs"/>
          </a:endParaRPr>
        </a:p>
        <a:p>
          <a:pPr algn="l"/>
          <a:endParaRPr lang="en-US" sz="1200"/>
        </a:p>
      </xdr:txBody>
    </xdr:sp>
    <xdr:clientData/>
  </xdr:twoCellAnchor>
  <xdr:twoCellAnchor>
    <xdr:from>
      <xdr:col>12</xdr:col>
      <xdr:colOff>460383</xdr:colOff>
      <xdr:row>13</xdr:row>
      <xdr:rowOff>63504</xdr:rowOff>
    </xdr:from>
    <xdr:to>
      <xdr:col>13</xdr:col>
      <xdr:colOff>343965</xdr:colOff>
      <xdr:row>15</xdr:row>
      <xdr:rowOff>21169</xdr:rowOff>
    </xdr:to>
    <xdr:sp macro="" textlink="">
      <xdr:nvSpPr>
        <xdr:cNvPr id="13" name="TextBox 12">
          <a:extLst>
            <a:ext uri="{FF2B5EF4-FFF2-40B4-BE49-F238E27FC236}">
              <a16:creationId xmlns:a16="http://schemas.microsoft.com/office/drawing/2014/main" id="{3521C349-CB01-49EA-A48D-5945EFE54554}"/>
            </a:ext>
          </a:extLst>
        </xdr:cNvPr>
        <xdr:cNvSpPr txBox="1"/>
      </xdr:nvSpPr>
      <xdr:spPr>
        <a:xfrm>
          <a:off x="7762883" y="2127254"/>
          <a:ext cx="492124" cy="2751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i="0" u="none" strike="noStrike" baseline="0">
              <a:solidFill>
                <a:schemeClr val="dk1"/>
              </a:solidFill>
              <a:effectLst/>
              <a:latin typeface="+mn-lt"/>
              <a:ea typeface="+mn-ea"/>
              <a:cs typeface="+mn-cs"/>
            </a:rPr>
            <a:t>APC</a:t>
          </a:r>
        </a:p>
        <a:p>
          <a:pPr algn="l"/>
          <a:endParaRPr lang="en-US" sz="1200" b="1" i="0" u="none" strike="noStrike" baseline="0">
            <a:solidFill>
              <a:schemeClr val="dk1"/>
            </a:solidFill>
            <a:effectLst/>
            <a:latin typeface="+mn-lt"/>
            <a:ea typeface="+mn-ea"/>
            <a:cs typeface="+mn-cs"/>
          </a:endParaRPr>
        </a:p>
        <a:p>
          <a:pPr algn="l"/>
          <a:endParaRPr lang="en-US" sz="1200"/>
        </a:p>
      </xdr:txBody>
    </xdr:sp>
    <xdr:clientData/>
  </xdr:twoCellAnchor>
  <xdr:twoCellAnchor>
    <xdr:from>
      <xdr:col>8</xdr:col>
      <xdr:colOff>100554</xdr:colOff>
      <xdr:row>23</xdr:row>
      <xdr:rowOff>10583</xdr:rowOff>
    </xdr:from>
    <xdr:to>
      <xdr:col>10</xdr:col>
      <xdr:colOff>68803</xdr:colOff>
      <xdr:row>26</xdr:row>
      <xdr:rowOff>5292</xdr:rowOff>
    </xdr:to>
    <xdr:sp macro="" textlink="">
      <xdr:nvSpPr>
        <xdr:cNvPr id="15" name="TextBox 14">
          <a:extLst>
            <a:ext uri="{FF2B5EF4-FFF2-40B4-BE49-F238E27FC236}">
              <a16:creationId xmlns:a16="http://schemas.microsoft.com/office/drawing/2014/main" id="{0779904A-71F2-4AA6-9CAB-18860B72AF02}"/>
            </a:ext>
          </a:extLst>
        </xdr:cNvPr>
        <xdr:cNvSpPr txBox="1"/>
      </xdr:nvSpPr>
      <xdr:spPr>
        <a:xfrm>
          <a:off x="4968887" y="3661833"/>
          <a:ext cx="1185333" cy="4709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i="0" u="none" strike="noStrike" baseline="0">
              <a:solidFill>
                <a:schemeClr val="dk1"/>
              </a:solidFill>
              <a:effectLst/>
              <a:latin typeface="+mn-lt"/>
              <a:ea typeface="+mn-ea"/>
              <a:cs typeface="+mn-cs"/>
            </a:rPr>
            <a:t>Labour Cost for staff pa/person</a:t>
          </a:r>
        </a:p>
      </xdr:txBody>
    </xdr:sp>
    <xdr:clientData/>
  </xdr:twoCellAnchor>
  <xdr:twoCellAnchor>
    <xdr:from>
      <xdr:col>11</xdr:col>
      <xdr:colOff>104788</xdr:colOff>
      <xdr:row>23</xdr:row>
      <xdr:rowOff>94192</xdr:rowOff>
    </xdr:from>
    <xdr:to>
      <xdr:col>12</xdr:col>
      <xdr:colOff>555637</xdr:colOff>
      <xdr:row>25</xdr:row>
      <xdr:rowOff>21167</xdr:rowOff>
    </xdr:to>
    <xdr:sp macro="" textlink="">
      <xdr:nvSpPr>
        <xdr:cNvPr id="16" name="TextBox 15">
          <a:extLst>
            <a:ext uri="{FF2B5EF4-FFF2-40B4-BE49-F238E27FC236}">
              <a16:creationId xmlns:a16="http://schemas.microsoft.com/office/drawing/2014/main" id="{0C3A326B-90C2-4530-B747-5303B273AEE8}"/>
            </a:ext>
          </a:extLst>
        </xdr:cNvPr>
        <xdr:cNvSpPr txBox="1"/>
      </xdr:nvSpPr>
      <xdr:spPr>
        <a:xfrm>
          <a:off x="6798746" y="3745442"/>
          <a:ext cx="1059391" cy="244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i="0" u="none" strike="noStrike" baseline="0">
              <a:solidFill>
                <a:schemeClr val="dk1"/>
              </a:solidFill>
              <a:effectLst/>
              <a:latin typeface="+mn-lt"/>
              <a:ea typeface="+mn-ea"/>
              <a:cs typeface="+mn-cs"/>
            </a:rPr>
            <a:t>Staffing Level</a:t>
          </a:r>
        </a:p>
        <a:p>
          <a:pPr algn="l"/>
          <a:endParaRPr lang="en-US" sz="1200" b="1" i="0" u="none" strike="noStrike" baseline="0">
            <a:solidFill>
              <a:schemeClr val="dk1"/>
            </a:solidFill>
            <a:effectLst/>
            <a:latin typeface="+mn-lt"/>
            <a:ea typeface="+mn-ea"/>
            <a:cs typeface="+mn-cs"/>
          </a:endParaRPr>
        </a:p>
        <a:p>
          <a:pPr algn="l"/>
          <a:endParaRPr lang="en-US" sz="1200" b="1" i="0" u="none" strike="noStrike" baseline="0">
            <a:solidFill>
              <a:schemeClr val="dk1"/>
            </a:solidFill>
            <a:effectLst/>
            <a:latin typeface="+mn-lt"/>
            <a:ea typeface="+mn-ea"/>
            <a:cs typeface="+mn-cs"/>
          </a:endParaRPr>
        </a:p>
        <a:p>
          <a:pPr algn="l"/>
          <a:endParaRPr lang="en-US" sz="1200"/>
        </a:p>
      </xdr:txBody>
    </xdr:sp>
    <xdr:clientData/>
  </xdr:twoCellAnchor>
  <xdr:twoCellAnchor>
    <xdr:from>
      <xdr:col>4</xdr:col>
      <xdr:colOff>275166</xdr:colOff>
      <xdr:row>22</xdr:row>
      <xdr:rowOff>142878</xdr:rowOff>
    </xdr:from>
    <xdr:to>
      <xdr:col>7</xdr:col>
      <xdr:colOff>353243</xdr:colOff>
      <xdr:row>24</xdr:row>
      <xdr:rowOff>95253</xdr:rowOff>
    </xdr:to>
    <xdr:sp macro="" textlink="">
      <xdr:nvSpPr>
        <xdr:cNvPr id="17" name="TextBox 16">
          <a:extLst>
            <a:ext uri="{FF2B5EF4-FFF2-40B4-BE49-F238E27FC236}">
              <a16:creationId xmlns:a16="http://schemas.microsoft.com/office/drawing/2014/main" id="{1A1AF1B3-8009-42CE-BB0B-77CF7B0542A9}"/>
            </a:ext>
          </a:extLst>
        </xdr:cNvPr>
        <xdr:cNvSpPr txBox="1"/>
      </xdr:nvSpPr>
      <xdr:spPr>
        <a:xfrm>
          <a:off x="2709333" y="3635378"/>
          <a:ext cx="1903702" cy="269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i="0" u="none" strike="noStrike" baseline="0">
              <a:solidFill>
                <a:schemeClr val="dk1"/>
              </a:solidFill>
              <a:effectLst/>
              <a:latin typeface="+mn-lt"/>
              <a:ea typeface="+mn-ea"/>
              <a:cs typeface="+mn-cs"/>
            </a:rPr>
            <a:t>Av wholesale cost($/item)</a:t>
          </a:r>
        </a:p>
        <a:p>
          <a:pPr algn="l"/>
          <a:endParaRPr lang="en-US" sz="1200" b="1" i="0" u="none" strike="noStrike" baseline="0">
            <a:solidFill>
              <a:schemeClr val="dk1"/>
            </a:solidFill>
            <a:effectLst/>
            <a:latin typeface="+mn-lt"/>
            <a:ea typeface="+mn-ea"/>
            <a:cs typeface="+mn-cs"/>
          </a:endParaRPr>
        </a:p>
        <a:p>
          <a:pPr algn="l"/>
          <a:endParaRPr lang="en-US" sz="1200" b="1" i="0" u="none" strike="noStrike" baseline="0">
            <a:solidFill>
              <a:schemeClr val="dk1"/>
            </a:solidFill>
            <a:effectLst/>
            <a:latin typeface="+mn-lt"/>
            <a:ea typeface="+mn-ea"/>
            <a:cs typeface="+mn-cs"/>
          </a:endParaRPr>
        </a:p>
        <a:p>
          <a:pPr algn="l"/>
          <a:endParaRPr lang="en-US" sz="1200"/>
        </a:p>
      </xdr:txBody>
    </xdr:sp>
    <xdr:clientData/>
  </xdr:twoCellAnchor>
  <xdr:twoCellAnchor>
    <xdr:from>
      <xdr:col>9</xdr:col>
      <xdr:colOff>84679</xdr:colOff>
      <xdr:row>14</xdr:row>
      <xdr:rowOff>148165</xdr:rowOff>
    </xdr:from>
    <xdr:to>
      <xdr:col>10</xdr:col>
      <xdr:colOff>423346</xdr:colOff>
      <xdr:row>23</xdr:row>
      <xdr:rowOff>10583</xdr:rowOff>
    </xdr:to>
    <xdr:cxnSp macro="">
      <xdr:nvCxnSpPr>
        <xdr:cNvPr id="19" name="Straight Arrow Connector 18">
          <a:extLst>
            <a:ext uri="{FF2B5EF4-FFF2-40B4-BE49-F238E27FC236}">
              <a16:creationId xmlns:a16="http://schemas.microsoft.com/office/drawing/2014/main" id="{2507CBD7-1C9A-4C5A-88AD-51F277B71568}"/>
            </a:ext>
          </a:extLst>
        </xdr:cNvPr>
        <xdr:cNvCxnSpPr>
          <a:stCxn id="15" idx="0"/>
          <a:endCxn id="6" idx="2"/>
        </xdr:cNvCxnSpPr>
      </xdr:nvCxnSpPr>
      <xdr:spPr bwMode="auto">
        <a:xfrm flipV="1">
          <a:off x="5561554" y="2370665"/>
          <a:ext cx="947209" cy="1291168"/>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423346</xdr:colOff>
      <xdr:row>14</xdr:row>
      <xdr:rowOff>148165</xdr:rowOff>
    </xdr:from>
    <xdr:to>
      <xdr:col>12</xdr:col>
      <xdr:colOff>25942</xdr:colOff>
      <xdr:row>23</xdr:row>
      <xdr:rowOff>94192</xdr:rowOff>
    </xdr:to>
    <xdr:cxnSp macro="">
      <xdr:nvCxnSpPr>
        <xdr:cNvPr id="22" name="Straight Arrow Connector 21">
          <a:extLst>
            <a:ext uri="{FF2B5EF4-FFF2-40B4-BE49-F238E27FC236}">
              <a16:creationId xmlns:a16="http://schemas.microsoft.com/office/drawing/2014/main" id="{190B3D61-47EE-4086-B858-9CE7A5E02991}"/>
            </a:ext>
          </a:extLst>
        </xdr:cNvPr>
        <xdr:cNvCxnSpPr>
          <a:stCxn id="16" idx="0"/>
          <a:endCxn id="6" idx="2"/>
        </xdr:cNvCxnSpPr>
      </xdr:nvCxnSpPr>
      <xdr:spPr bwMode="auto">
        <a:xfrm flipH="1" flipV="1">
          <a:off x="6508763" y="2370665"/>
          <a:ext cx="819679" cy="1374777"/>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3</xdr:col>
      <xdr:colOff>465667</xdr:colOff>
      <xdr:row>15</xdr:row>
      <xdr:rowOff>31754</xdr:rowOff>
    </xdr:from>
    <xdr:to>
      <xdr:col>5</xdr:col>
      <xdr:colOff>602726</xdr:colOff>
      <xdr:row>17</xdr:row>
      <xdr:rowOff>148172</xdr:rowOff>
    </xdr:to>
    <xdr:cxnSp macro="">
      <xdr:nvCxnSpPr>
        <xdr:cNvPr id="25" name="Straight Arrow Connector 24">
          <a:extLst>
            <a:ext uri="{FF2B5EF4-FFF2-40B4-BE49-F238E27FC236}">
              <a16:creationId xmlns:a16="http://schemas.microsoft.com/office/drawing/2014/main" id="{388A47ED-E916-4C6D-B171-29CCA5A07278}"/>
            </a:ext>
          </a:extLst>
        </xdr:cNvPr>
        <xdr:cNvCxnSpPr>
          <a:stCxn id="7" idx="0"/>
          <a:endCxn id="9" idx="2"/>
        </xdr:cNvCxnSpPr>
      </xdr:nvCxnSpPr>
      <xdr:spPr bwMode="auto">
        <a:xfrm flipV="1">
          <a:off x="2291292" y="2413004"/>
          <a:ext cx="1354142" cy="433918"/>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602726</xdr:colOff>
      <xdr:row>15</xdr:row>
      <xdr:rowOff>31754</xdr:rowOff>
    </xdr:from>
    <xdr:to>
      <xdr:col>6</xdr:col>
      <xdr:colOff>9934</xdr:colOff>
      <xdr:row>22</xdr:row>
      <xdr:rowOff>142878</xdr:rowOff>
    </xdr:to>
    <xdr:cxnSp macro="">
      <xdr:nvCxnSpPr>
        <xdr:cNvPr id="28" name="Straight Arrow Connector 27">
          <a:extLst>
            <a:ext uri="{FF2B5EF4-FFF2-40B4-BE49-F238E27FC236}">
              <a16:creationId xmlns:a16="http://schemas.microsoft.com/office/drawing/2014/main" id="{AE2E85B6-8136-4C52-848A-B4DD53BAA425}"/>
            </a:ext>
          </a:extLst>
        </xdr:cNvPr>
        <xdr:cNvCxnSpPr>
          <a:stCxn id="17" idx="0"/>
          <a:endCxn id="9" idx="2"/>
        </xdr:cNvCxnSpPr>
      </xdr:nvCxnSpPr>
      <xdr:spPr bwMode="auto">
        <a:xfrm flipH="1" flipV="1">
          <a:off x="3645434" y="2413004"/>
          <a:ext cx="15750" cy="1222374"/>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xdr:col>
      <xdr:colOff>603249</xdr:colOff>
      <xdr:row>8</xdr:row>
      <xdr:rowOff>95252</xdr:rowOff>
    </xdr:from>
    <xdr:to>
      <xdr:col>3</xdr:col>
      <xdr:colOff>465667</xdr:colOff>
      <xdr:row>17</xdr:row>
      <xdr:rowOff>148172</xdr:rowOff>
    </xdr:to>
    <xdr:cxnSp macro="">
      <xdr:nvCxnSpPr>
        <xdr:cNvPr id="36" name="Straight Arrow Connector 35">
          <a:extLst>
            <a:ext uri="{FF2B5EF4-FFF2-40B4-BE49-F238E27FC236}">
              <a16:creationId xmlns:a16="http://schemas.microsoft.com/office/drawing/2014/main" id="{4633C925-C80D-4F71-A773-E3E9B8D27CD8}"/>
            </a:ext>
          </a:extLst>
        </xdr:cNvPr>
        <xdr:cNvCxnSpPr>
          <a:stCxn id="7" idx="0"/>
          <a:endCxn id="4" idx="2"/>
        </xdr:cNvCxnSpPr>
      </xdr:nvCxnSpPr>
      <xdr:spPr bwMode="auto">
        <a:xfrm flipH="1" flipV="1">
          <a:off x="1211791" y="1365252"/>
          <a:ext cx="1079501" cy="1481670"/>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xdr:col>
      <xdr:colOff>58208</xdr:colOff>
      <xdr:row>8</xdr:row>
      <xdr:rowOff>95252</xdr:rowOff>
    </xdr:from>
    <xdr:to>
      <xdr:col>1</xdr:col>
      <xdr:colOff>603249</xdr:colOff>
      <xdr:row>22</xdr:row>
      <xdr:rowOff>37046</xdr:rowOff>
    </xdr:to>
    <xdr:cxnSp macro="">
      <xdr:nvCxnSpPr>
        <xdr:cNvPr id="39" name="Straight Arrow Connector 38">
          <a:extLst>
            <a:ext uri="{FF2B5EF4-FFF2-40B4-BE49-F238E27FC236}">
              <a16:creationId xmlns:a16="http://schemas.microsoft.com/office/drawing/2014/main" id="{DF4C8103-D205-4A7E-9DB4-20A7E678319C}"/>
            </a:ext>
          </a:extLst>
        </xdr:cNvPr>
        <xdr:cNvCxnSpPr>
          <a:stCxn id="8" idx="0"/>
          <a:endCxn id="4" idx="2"/>
        </xdr:cNvCxnSpPr>
      </xdr:nvCxnSpPr>
      <xdr:spPr bwMode="auto">
        <a:xfrm flipV="1">
          <a:off x="666750" y="1365252"/>
          <a:ext cx="545041" cy="2164294"/>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xdr:col>
      <xdr:colOff>603249</xdr:colOff>
      <xdr:row>2</xdr:row>
      <xdr:rowOff>158581</xdr:rowOff>
    </xdr:from>
    <xdr:to>
      <xdr:col>6</xdr:col>
      <xdr:colOff>495249</xdr:colOff>
      <xdr:row>7</xdr:row>
      <xdr:rowOff>5294</xdr:rowOff>
    </xdr:to>
    <xdr:cxnSp macro="">
      <xdr:nvCxnSpPr>
        <xdr:cNvPr id="42" name="Straight Arrow Connector 41">
          <a:extLst>
            <a:ext uri="{FF2B5EF4-FFF2-40B4-BE49-F238E27FC236}">
              <a16:creationId xmlns:a16="http://schemas.microsoft.com/office/drawing/2014/main" id="{984DA884-AE11-4477-A723-2225979D6CF0}"/>
            </a:ext>
          </a:extLst>
        </xdr:cNvPr>
        <xdr:cNvCxnSpPr>
          <a:stCxn id="4" idx="0"/>
          <a:endCxn id="2" idx="2"/>
        </xdr:cNvCxnSpPr>
      </xdr:nvCxnSpPr>
      <xdr:spPr bwMode="auto">
        <a:xfrm flipV="1">
          <a:off x="1211791" y="476081"/>
          <a:ext cx="2934708" cy="640463"/>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6</xdr:col>
      <xdr:colOff>495249</xdr:colOff>
      <xdr:row>2</xdr:row>
      <xdr:rowOff>158581</xdr:rowOff>
    </xdr:from>
    <xdr:to>
      <xdr:col>10</xdr:col>
      <xdr:colOff>380470</xdr:colOff>
      <xdr:row>6</xdr:row>
      <xdr:rowOff>51858</xdr:rowOff>
    </xdr:to>
    <xdr:cxnSp macro="">
      <xdr:nvCxnSpPr>
        <xdr:cNvPr id="45" name="Straight Arrow Connector 44">
          <a:extLst>
            <a:ext uri="{FF2B5EF4-FFF2-40B4-BE49-F238E27FC236}">
              <a16:creationId xmlns:a16="http://schemas.microsoft.com/office/drawing/2014/main" id="{A39E91B2-77E2-4A8D-8947-134843BC0198}"/>
            </a:ext>
          </a:extLst>
        </xdr:cNvPr>
        <xdr:cNvCxnSpPr>
          <a:stCxn id="5" idx="0"/>
          <a:endCxn id="2" idx="2"/>
        </xdr:cNvCxnSpPr>
      </xdr:nvCxnSpPr>
      <xdr:spPr bwMode="auto">
        <a:xfrm flipH="1" flipV="1">
          <a:off x="4146499" y="476081"/>
          <a:ext cx="2319388" cy="528277"/>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602726</xdr:colOff>
      <xdr:row>7</xdr:row>
      <xdr:rowOff>158749</xdr:rowOff>
    </xdr:from>
    <xdr:to>
      <xdr:col>10</xdr:col>
      <xdr:colOff>380470</xdr:colOff>
      <xdr:row>13</xdr:row>
      <xdr:rowOff>88904</xdr:rowOff>
    </xdr:to>
    <xdr:cxnSp macro="">
      <xdr:nvCxnSpPr>
        <xdr:cNvPr id="47" name="Straight Arrow Connector 46">
          <a:extLst>
            <a:ext uri="{FF2B5EF4-FFF2-40B4-BE49-F238E27FC236}">
              <a16:creationId xmlns:a16="http://schemas.microsoft.com/office/drawing/2014/main" id="{EA4A774F-CFC8-44BC-9B03-95FF6852300E}"/>
            </a:ext>
          </a:extLst>
        </xdr:cNvPr>
        <xdr:cNvCxnSpPr>
          <a:stCxn id="9" idx="0"/>
          <a:endCxn id="5" idx="2"/>
        </xdr:cNvCxnSpPr>
      </xdr:nvCxnSpPr>
      <xdr:spPr bwMode="auto">
        <a:xfrm flipV="1">
          <a:off x="3645434" y="1269999"/>
          <a:ext cx="2820453" cy="882655"/>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8</xdr:col>
      <xdr:colOff>283111</xdr:colOff>
      <xdr:row>7</xdr:row>
      <xdr:rowOff>158749</xdr:rowOff>
    </xdr:from>
    <xdr:to>
      <xdr:col>10</xdr:col>
      <xdr:colOff>380470</xdr:colOff>
      <xdr:row>13</xdr:row>
      <xdr:rowOff>58212</xdr:rowOff>
    </xdr:to>
    <xdr:cxnSp macro="">
      <xdr:nvCxnSpPr>
        <xdr:cNvPr id="49" name="Straight Arrow Connector 48">
          <a:extLst>
            <a:ext uri="{FF2B5EF4-FFF2-40B4-BE49-F238E27FC236}">
              <a16:creationId xmlns:a16="http://schemas.microsoft.com/office/drawing/2014/main" id="{BCC5819D-3414-4FF7-B99F-93808C2CEDB4}"/>
            </a:ext>
          </a:extLst>
        </xdr:cNvPr>
        <xdr:cNvCxnSpPr>
          <a:stCxn id="12" idx="0"/>
          <a:endCxn id="5" idx="2"/>
        </xdr:cNvCxnSpPr>
      </xdr:nvCxnSpPr>
      <xdr:spPr bwMode="auto">
        <a:xfrm flipV="1">
          <a:off x="5151444" y="1269999"/>
          <a:ext cx="1314443" cy="851963"/>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380470</xdr:colOff>
      <xdr:row>7</xdr:row>
      <xdr:rowOff>158749</xdr:rowOff>
    </xdr:from>
    <xdr:to>
      <xdr:col>10</xdr:col>
      <xdr:colOff>423346</xdr:colOff>
      <xdr:row>13</xdr:row>
      <xdr:rowOff>74082</xdr:rowOff>
    </xdr:to>
    <xdr:cxnSp macro="">
      <xdr:nvCxnSpPr>
        <xdr:cNvPr id="51" name="Straight Arrow Connector 50">
          <a:extLst>
            <a:ext uri="{FF2B5EF4-FFF2-40B4-BE49-F238E27FC236}">
              <a16:creationId xmlns:a16="http://schemas.microsoft.com/office/drawing/2014/main" id="{C37B3EEA-3760-4405-B9A2-F4EDC877FB8D}"/>
            </a:ext>
          </a:extLst>
        </xdr:cNvPr>
        <xdr:cNvCxnSpPr>
          <a:stCxn id="6" idx="0"/>
          <a:endCxn id="5" idx="2"/>
        </xdr:cNvCxnSpPr>
      </xdr:nvCxnSpPr>
      <xdr:spPr bwMode="auto">
        <a:xfrm flipH="1" flipV="1">
          <a:off x="6465887" y="1269999"/>
          <a:ext cx="42876" cy="867833"/>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380470</xdr:colOff>
      <xdr:row>7</xdr:row>
      <xdr:rowOff>158749</xdr:rowOff>
    </xdr:from>
    <xdr:to>
      <xdr:col>13</xdr:col>
      <xdr:colOff>97903</xdr:colOff>
      <xdr:row>13</xdr:row>
      <xdr:rowOff>63504</xdr:rowOff>
    </xdr:to>
    <xdr:cxnSp macro="">
      <xdr:nvCxnSpPr>
        <xdr:cNvPr id="61" name="Straight Arrow Connector 60">
          <a:extLst>
            <a:ext uri="{FF2B5EF4-FFF2-40B4-BE49-F238E27FC236}">
              <a16:creationId xmlns:a16="http://schemas.microsoft.com/office/drawing/2014/main" id="{79501B58-3D11-4033-96A1-92699652F7B8}"/>
            </a:ext>
          </a:extLst>
        </xdr:cNvPr>
        <xdr:cNvCxnSpPr>
          <a:stCxn id="13" idx="0"/>
          <a:endCxn id="5" idx="2"/>
        </xdr:cNvCxnSpPr>
      </xdr:nvCxnSpPr>
      <xdr:spPr bwMode="auto">
        <a:xfrm flipH="1" flipV="1">
          <a:off x="6465887" y="1269999"/>
          <a:ext cx="1543058" cy="857255"/>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380470</xdr:colOff>
      <xdr:row>7</xdr:row>
      <xdr:rowOff>158749</xdr:rowOff>
    </xdr:from>
    <xdr:to>
      <xdr:col>15</xdr:col>
      <xdr:colOff>206864</xdr:colOff>
      <xdr:row>13</xdr:row>
      <xdr:rowOff>68793</xdr:rowOff>
    </xdr:to>
    <xdr:cxnSp macro="">
      <xdr:nvCxnSpPr>
        <xdr:cNvPr id="63" name="Straight Arrow Connector 62">
          <a:extLst>
            <a:ext uri="{FF2B5EF4-FFF2-40B4-BE49-F238E27FC236}">
              <a16:creationId xmlns:a16="http://schemas.microsoft.com/office/drawing/2014/main" id="{DCEC33BE-26BD-4779-AF4E-F3B800836C0A}"/>
            </a:ext>
          </a:extLst>
        </xdr:cNvPr>
        <xdr:cNvCxnSpPr>
          <a:stCxn id="10" idx="0"/>
          <a:endCxn id="5" idx="2"/>
        </xdr:cNvCxnSpPr>
      </xdr:nvCxnSpPr>
      <xdr:spPr bwMode="auto">
        <a:xfrm flipH="1" flipV="1">
          <a:off x="6465887" y="1269999"/>
          <a:ext cx="2869102" cy="862544"/>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16</xdr:col>
      <xdr:colOff>222250</xdr:colOff>
      <xdr:row>21</xdr:row>
      <xdr:rowOff>111128</xdr:rowOff>
    </xdr:from>
    <xdr:to>
      <xdr:col>17</xdr:col>
      <xdr:colOff>560918</xdr:colOff>
      <xdr:row>25</xdr:row>
      <xdr:rowOff>132295</xdr:rowOff>
    </xdr:to>
    <xdr:sp macro="" textlink="">
      <xdr:nvSpPr>
        <xdr:cNvPr id="30" name="TextBox 29">
          <a:extLst>
            <a:ext uri="{FF2B5EF4-FFF2-40B4-BE49-F238E27FC236}">
              <a16:creationId xmlns:a16="http://schemas.microsoft.com/office/drawing/2014/main" id="{C48480E1-B28E-4058-B4E8-4AA4F93627A8}"/>
            </a:ext>
          </a:extLst>
        </xdr:cNvPr>
        <xdr:cNvSpPr txBox="1"/>
      </xdr:nvSpPr>
      <xdr:spPr>
        <a:xfrm>
          <a:off x="9958917" y="3444878"/>
          <a:ext cx="947209" cy="6561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i="0" u="none" strike="noStrike" baseline="0">
              <a:solidFill>
                <a:schemeClr val="dk1"/>
              </a:solidFill>
              <a:effectLst/>
              <a:latin typeface="+mn-lt"/>
              <a:ea typeface="+mn-ea"/>
              <a:cs typeface="+mn-cs"/>
            </a:rPr>
            <a:t>Total Av Inventories for Location</a:t>
          </a:r>
        </a:p>
        <a:p>
          <a:pPr algn="l"/>
          <a:endParaRPr lang="en-US" sz="1200" b="1" i="0" u="none" strike="noStrike" baseline="0">
            <a:solidFill>
              <a:schemeClr val="dk1"/>
            </a:solidFill>
            <a:effectLst/>
            <a:latin typeface="+mn-lt"/>
            <a:ea typeface="+mn-ea"/>
            <a:cs typeface="+mn-cs"/>
          </a:endParaRPr>
        </a:p>
        <a:p>
          <a:pPr algn="l"/>
          <a:endParaRPr lang="en-US" sz="1200"/>
        </a:p>
      </xdr:txBody>
    </xdr:sp>
    <xdr:clientData/>
  </xdr:twoCellAnchor>
  <xdr:twoCellAnchor>
    <xdr:from>
      <xdr:col>13</xdr:col>
      <xdr:colOff>480482</xdr:colOff>
      <xdr:row>21</xdr:row>
      <xdr:rowOff>120651</xdr:rowOff>
    </xdr:from>
    <xdr:to>
      <xdr:col>15</xdr:col>
      <xdr:colOff>132291</xdr:colOff>
      <xdr:row>25</xdr:row>
      <xdr:rowOff>142876</xdr:rowOff>
    </xdr:to>
    <xdr:sp macro="" textlink="">
      <xdr:nvSpPr>
        <xdr:cNvPr id="31" name="TextBox 30">
          <a:extLst>
            <a:ext uri="{FF2B5EF4-FFF2-40B4-BE49-F238E27FC236}">
              <a16:creationId xmlns:a16="http://schemas.microsoft.com/office/drawing/2014/main" id="{A4A0492B-D4C1-4F9B-9B42-0B278FE77780}"/>
            </a:ext>
          </a:extLst>
        </xdr:cNvPr>
        <xdr:cNvSpPr txBox="1"/>
      </xdr:nvSpPr>
      <xdr:spPr>
        <a:xfrm>
          <a:off x="8391524" y="3454401"/>
          <a:ext cx="868892" cy="657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i="0" u="none" strike="noStrike" baseline="0">
              <a:solidFill>
                <a:schemeClr val="dk1"/>
              </a:solidFill>
              <a:effectLst/>
              <a:latin typeface="+mn-lt"/>
              <a:ea typeface="+mn-ea"/>
              <a:cs typeface="+mn-cs"/>
            </a:rPr>
            <a:t>VUAOC Cost for Location</a:t>
          </a:r>
        </a:p>
        <a:p>
          <a:pPr algn="l"/>
          <a:endParaRPr lang="en-US" sz="1200"/>
        </a:p>
      </xdr:txBody>
    </xdr:sp>
    <xdr:clientData/>
  </xdr:twoCellAnchor>
  <xdr:twoCellAnchor>
    <xdr:from>
      <xdr:col>14</xdr:col>
      <xdr:colOff>306387</xdr:colOff>
      <xdr:row>14</xdr:row>
      <xdr:rowOff>151546</xdr:rowOff>
    </xdr:from>
    <xdr:to>
      <xdr:col>15</xdr:col>
      <xdr:colOff>206864</xdr:colOff>
      <xdr:row>21</xdr:row>
      <xdr:rowOff>120651</xdr:rowOff>
    </xdr:to>
    <xdr:cxnSp macro="">
      <xdr:nvCxnSpPr>
        <xdr:cNvPr id="14" name="Straight Arrow Connector 13">
          <a:extLst>
            <a:ext uri="{FF2B5EF4-FFF2-40B4-BE49-F238E27FC236}">
              <a16:creationId xmlns:a16="http://schemas.microsoft.com/office/drawing/2014/main" id="{CE332EBE-74A0-47BA-8699-758FC9E60450}"/>
            </a:ext>
          </a:extLst>
        </xdr:cNvPr>
        <xdr:cNvCxnSpPr>
          <a:stCxn id="31" idx="0"/>
          <a:endCxn id="10" idx="2"/>
        </xdr:cNvCxnSpPr>
      </xdr:nvCxnSpPr>
      <xdr:spPr bwMode="auto">
        <a:xfrm flipV="1">
          <a:off x="8825970" y="2374046"/>
          <a:ext cx="509019" cy="1080355"/>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15</xdr:col>
      <xdr:colOff>206864</xdr:colOff>
      <xdr:row>14</xdr:row>
      <xdr:rowOff>151546</xdr:rowOff>
    </xdr:from>
    <xdr:to>
      <xdr:col>17</xdr:col>
      <xdr:colOff>87314</xdr:colOff>
      <xdr:row>21</xdr:row>
      <xdr:rowOff>111128</xdr:rowOff>
    </xdr:to>
    <xdr:cxnSp macro="">
      <xdr:nvCxnSpPr>
        <xdr:cNvPr id="21" name="Straight Arrow Connector 20">
          <a:extLst>
            <a:ext uri="{FF2B5EF4-FFF2-40B4-BE49-F238E27FC236}">
              <a16:creationId xmlns:a16="http://schemas.microsoft.com/office/drawing/2014/main" id="{F70392F9-762D-4844-B793-8346551257C1}"/>
            </a:ext>
          </a:extLst>
        </xdr:cNvPr>
        <xdr:cNvCxnSpPr>
          <a:stCxn id="30" idx="0"/>
          <a:endCxn id="10" idx="2"/>
        </xdr:cNvCxnSpPr>
      </xdr:nvCxnSpPr>
      <xdr:spPr bwMode="auto">
        <a:xfrm flipH="1" flipV="1">
          <a:off x="9334989" y="2374046"/>
          <a:ext cx="1097533" cy="1070832"/>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431800</xdr:colOff>
      <xdr:row>9</xdr:row>
      <xdr:rowOff>63500</xdr:rowOff>
    </xdr:from>
    <xdr:to>
      <xdr:col>4</xdr:col>
      <xdr:colOff>412750</xdr:colOff>
      <xdr:row>23</xdr:row>
      <xdr:rowOff>69850</xdr:rowOff>
    </xdr:to>
    <xdr:graphicFrame macro="">
      <xdr:nvGraphicFramePr>
        <xdr:cNvPr id="4" name="Chart 3">
          <a:extLst>
            <a:ext uri="{FF2B5EF4-FFF2-40B4-BE49-F238E27FC236}">
              <a16:creationId xmlns:a16="http://schemas.microsoft.com/office/drawing/2014/main" id="{1449B641-4D60-4232-98D0-3C59960A21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165100</xdr:colOff>
      <xdr:row>10</xdr:row>
      <xdr:rowOff>31750</xdr:rowOff>
    </xdr:from>
    <xdr:to>
      <xdr:col>13</xdr:col>
      <xdr:colOff>25400</xdr:colOff>
      <xdr:row>25</xdr:row>
      <xdr:rowOff>31750</xdr:rowOff>
    </xdr:to>
    <xdr:graphicFrame macro="">
      <xdr:nvGraphicFramePr>
        <xdr:cNvPr id="5" name="Chart 4">
          <a:extLst>
            <a:ext uri="{FF2B5EF4-FFF2-40B4-BE49-F238E27FC236}">
              <a16:creationId xmlns:a16="http://schemas.microsoft.com/office/drawing/2014/main" id="{91AB9166-969B-4186-A19A-E8FB5AD3D9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781050</xdr:colOff>
      <xdr:row>28</xdr:row>
      <xdr:rowOff>120650</xdr:rowOff>
    </xdr:from>
    <xdr:to>
      <xdr:col>12</xdr:col>
      <xdr:colOff>336550</xdr:colOff>
      <xdr:row>40</xdr:row>
      <xdr:rowOff>38100</xdr:rowOff>
    </xdr:to>
    <xdr:graphicFrame macro="">
      <xdr:nvGraphicFramePr>
        <xdr:cNvPr id="10" name="Chart 9">
          <a:extLst>
            <a:ext uri="{FF2B5EF4-FFF2-40B4-BE49-F238E27FC236}">
              <a16:creationId xmlns:a16="http://schemas.microsoft.com/office/drawing/2014/main" id="{25B6F212-B2E8-4472-86DD-19C5516FA4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19050</xdr:colOff>
      <xdr:row>2</xdr:row>
      <xdr:rowOff>0</xdr:rowOff>
    </xdr:from>
    <xdr:to>
      <xdr:col>1</xdr:col>
      <xdr:colOff>711200</xdr:colOff>
      <xdr:row>11</xdr:row>
      <xdr:rowOff>12700</xdr:rowOff>
    </xdr:to>
    <mc:AlternateContent xmlns:mc="http://schemas.openxmlformats.org/markup-compatibility/2006" xmlns:a14="http://schemas.microsoft.com/office/drawing/2010/main">
      <mc:Choice Requires="a14">
        <xdr:graphicFrame macro="">
          <xdr:nvGraphicFramePr>
            <xdr:cNvPr id="2" name="LOCATION">
              <a:extLst>
                <a:ext uri="{FF2B5EF4-FFF2-40B4-BE49-F238E27FC236}">
                  <a16:creationId xmlns:a16="http://schemas.microsoft.com/office/drawing/2014/main" id="{F886E386-3547-411D-BE56-140AC91855A9}"/>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19050" y="381000"/>
              <a:ext cx="1587500" cy="1441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285750</xdr:colOff>
      <xdr:row>0</xdr:row>
      <xdr:rowOff>107950</xdr:rowOff>
    </xdr:from>
    <xdr:to>
      <xdr:col>11</xdr:col>
      <xdr:colOff>698500</xdr:colOff>
      <xdr:row>8</xdr:row>
      <xdr:rowOff>139700</xdr:rowOff>
    </xdr:to>
    <xdr:graphicFrame macro="">
      <xdr:nvGraphicFramePr>
        <xdr:cNvPr id="3" name="Chart 2">
          <a:extLst>
            <a:ext uri="{FF2B5EF4-FFF2-40B4-BE49-F238E27FC236}">
              <a16:creationId xmlns:a16="http://schemas.microsoft.com/office/drawing/2014/main" id="{396C934E-E4E7-4552-AE47-8AC9EE7E01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158750</xdr:colOff>
      <xdr:row>3</xdr:row>
      <xdr:rowOff>6350</xdr:rowOff>
    </xdr:from>
    <xdr:to>
      <xdr:col>4</xdr:col>
      <xdr:colOff>127000</xdr:colOff>
      <xdr:row>9</xdr:row>
      <xdr:rowOff>0</xdr:rowOff>
    </xdr:to>
    <xdr:sp macro="" textlink="'Dashboard Design Space'!C8">
      <xdr:nvSpPr>
        <xdr:cNvPr id="14" name="TextBox 13">
          <a:extLst>
            <a:ext uri="{FF2B5EF4-FFF2-40B4-BE49-F238E27FC236}">
              <a16:creationId xmlns:a16="http://schemas.microsoft.com/office/drawing/2014/main" id="{A042DB61-0550-41D5-BFA1-B9FAAE822F99}"/>
            </a:ext>
          </a:extLst>
        </xdr:cNvPr>
        <xdr:cNvSpPr txBox="1"/>
      </xdr:nvSpPr>
      <xdr:spPr>
        <a:xfrm>
          <a:off x="1784350" y="546100"/>
          <a:ext cx="1727200" cy="946150"/>
        </a:xfrm>
        <a:prstGeom prst="rect">
          <a:avLst/>
        </a:prstGeom>
        <a:ln w="12700">
          <a:solidFill>
            <a:schemeClr val="accent5">
              <a:lumMod val="5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ctr"/>
        <a:lstStyle/>
        <a:p>
          <a:pPr algn="ctr"/>
          <a:fld id="{69BD651A-4C33-4760-9E4D-299589519B0C}" type="TxLink">
            <a:rPr lang="en-US" sz="2400" b="0" i="0" u="none" strike="noStrike">
              <a:solidFill>
                <a:srgbClr val="000000"/>
              </a:solidFill>
              <a:latin typeface="Calibri"/>
              <a:cs typeface="Calibri"/>
            </a:rPr>
            <a:pPr algn="ctr"/>
            <a:t>1,380,911</a:t>
          </a:fld>
          <a:endParaRPr lang="en-US" sz="2400"/>
        </a:p>
      </xdr:txBody>
    </xdr:sp>
    <xdr:clientData/>
  </xdr:twoCellAnchor>
  <xdr:twoCellAnchor>
    <xdr:from>
      <xdr:col>2</xdr:col>
      <xdr:colOff>152400</xdr:colOff>
      <xdr:row>0</xdr:row>
      <xdr:rowOff>50800</xdr:rowOff>
    </xdr:from>
    <xdr:to>
      <xdr:col>4</xdr:col>
      <xdr:colOff>133350</xdr:colOff>
      <xdr:row>3</xdr:row>
      <xdr:rowOff>50800</xdr:rowOff>
    </xdr:to>
    <xdr:sp macro="" textlink="">
      <xdr:nvSpPr>
        <xdr:cNvPr id="15" name="TextBox 14">
          <a:extLst>
            <a:ext uri="{FF2B5EF4-FFF2-40B4-BE49-F238E27FC236}">
              <a16:creationId xmlns:a16="http://schemas.microsoft.com/office/drawing/2014/main" id="{0FCD750A-F7E0-484B-BA81-DC314262F0C0}"/>
            </a:ext>
          </a:extLst>
        </xdr:cNvPr>
        <xdr:cNvSpPr txBox="1"/>
      </xdr:nvSpPr>
      <xdr:spPr>
        <a:xfrm>
          <a:off x="1778000" y="50800"/>
          <a:ext cx="1739900" cy="539750"/>
        </a:xfrm>
        <a:prstGeom prst="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wrap="square" rtlCol="0" anchor="t">
          <a:noAutofit/>
        </a:bodyPr>
        <a:lstStyle/>
        <a:p>
          <a:pPr algn="ctr"/>
          <a:r>
            <a:rPr lang="en-US" sz="1400">
              <a:solidFill>
                <a:schemeClr val="accent5">
                  <a:lumMod val="20000"/>
                  <a:lumOff val="80000"/>
                </a:schemeClr>
              </a:solidFill>
            </a:rPr>
            <a:t>Total</a:t>
          </a:r>
          <a:r>
            <a:rPr lang="en-US" sz="1400" baseline="0">
              <a:solidFill>
                <a:schemeClr val="accent5">
                  <a:lumMod val="20000"/>
                  <a:lumOff val="80000"/>
                </a:schemeClr>
              </a:solidFill>
            </a:rPr>
            <a:t> </a:t>
          </a:r>
          <a:r>
            <a:rPr lang="en-US" sz="1400">
              <a:solidFill>
                <a:schemeClr val="accent5">
                  <a:lumMod val="20000"/>
                  <a:lumOff val="80000"/>
                </a:schemeClr>
              </a:solidFill>
            </a:rPr>
            <a:t>Net Profit </a:t>
          </a:r>
          <a:br>
            <a:rPr lang="en-US" sz="1400">
              <a:solidFill>
                <a:schemeClr val="accent5">
                  <a:lumMod val="20000"/>
                  <a:lumOff val="80000"/>
                </a:schemeClr>
              </a:solidFill>
            </a:rPr>
          </a:br>
          <a:r>
            <a:rPr lang="en-US" sz="1400">
              <a:solidFill>
                <a:schemeClr val="accent5">
                  <a:lumMod val="20000"/>
                  <a:lumOff val="80000"/>
                </a:schemeClr>
              </a:solidFill>
            </a:rPr>
            <a:t>Over 3 Year</a:t>
          </a:r>
          <a:r>
            <a:rPr lang="en-US" sz="1400" baseline="0">
              <a:solidFill>
                <a:schemeClr val="accent5">
                  <a:lumMod val="20000"/>
                  <a:lumOff val="80000"/>
                </a:schemeClr>
              </a:solidFill>
            </a:rPr>
            <a:t> </a:t>
          </a:r>
          <a:r>
            <a:rPr lang="en-US" sz="1400">
              <a:solidFill>
                <a:schemeClr val="accent5">
                  <a:lumMod val="20000"/>
                  <a:lumOff val="80000"/>
                </a:schemeClr>
              </a:solidFill>
            </a:rPr>
            <a:t> </a:t>
          </a:r>
        </a:p>
      </xdr:txBody>
    </xdr:sp>
    <xdr:clientData/>
  </xdr:twoCellAnchor>
  <xdr:twoCellAnchor editAs="oneCell">
    <xdr:from>
      <xdr:col>0</xdr:col>
      <xdr:colOff>12700</xdr:colOff>
      <xdr:row>12</xdr:row>
      <xdr:rowOff>95250</xdr:rowOff>
    </xdr:from>
    <xdr:to>
      <xdr:col>1</xdr:col>
      <xdr:colOff>692150</xdr:colOff>
      <xdr:row>19</xdr:row>
      <xdr:rowOff>82550</xdr:rowOff>
    </xdr:to>
    <mc:AlternateContent xmlns:mc="http://schemas.openxmlformats.org/markup-compatibility/2006" xmlns:a14="http://schemas.microsoft.com/office/drawing/2010/main">
      <mc:Choice Requires="a14">
        <xdr:graphicFrame macro="">
          <xdr:nvGraphicFramePr>
            <xdr:cNvPr id="17" name="YEAR">
              <a:extLst>
                <a:ext uri="{FF2B5EF4-FFF2-40B4-BE49-F238E27FC236}">
                  <a16:creationId xmlns:a16="http://schemas.microsoft.com/office/drawing/2014/main" id="{A8ED3447-CE6D-4561-8C25-4DA84898D44A}"/>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2700" y="2063750"/>
              <a:ext cx="1574800" cy="1098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222250</xdr:colOff>
      <xdr:row>1</xdr:row>
      <xdr:rowOff>146050</xdr:rowOff>
    </xdr:from>
    <xdr:to>
      <xdr:col>16</xdr:col>
      <xdr:colOff>463550</xdr:colOff>
      <xdr:row>23</xdr:row>
      <xdr:rowOff>19050</xdr:rowOff>
    </xdr:to>
    <xdr:graphicFrame macro="">
      <xdr:nvGraphicFramePr>
        <xdr:cNvPr id="18" name="Chart 17">
          <a:extLst>
            <a:ext uri="{FF2B5EF4-FFF2-40B4-BE49-F238E27FC236}">
              <a16:creationId xmlns:a16="http://schemas.microsoft.com/office/drawing/2014/main" id="{48DAC30D-1C45-40A7-9AD8-2271BE996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171450</xdr:colOff>
      <xdr:row>11</xdr:row>
      <xdr:rowOff>88900</xdr:rowOff>
    </xdr:from>
    <xdr:to>
      <xdr:col>12</xdr:col>
      <xdr:colOff>76200</xdr:colOff>
      <xdr:row>23</xdr:row>
      <xdr:rowOff>38100</xdr:rowOff>
    </xdr:to>
    <xdr:graphicFrame macro="">
      <xdr:nvGraphicFramePr>
        <xdr:cNvPr id="23" name="Chart 22">
          <a:extLst>
            <a:ext uri="{FF2B5EF4-FFF2-40B4-BE49-F238E27FC236}">
              <a16:creationId xmlns:a16="http://schemas.microsoft.com/office/drawing/2014/main" id="{FDF3633D-19F0-4782-820A-6366ED0BC9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165100</xdr:colOff>
      <xdr:row>9</xdr:row>
      <xdr:rowOff>120650</xdr:rowOff>
    </xdr:from>
    <xdr:to>
      <xdr:col>12</xdr:col>
      <xdr:colOff>82550</xdr:colOff>
      <xdr:row>11</xdr:row>
      <xdr:rowOff>88900</xdr:rowOff>
    </xdr:to>
    <xdr:sp macro="" textlink="">
      <xdr:nvSpPr>
        <xdr:cNvPr id="24" name="TextBox 23">
          <a:extLst>
            <a:ext uri="{FF2B5EF4-FFF2-40B4-BE49-F238E27FC236}">
              <a16:creationId xmlns:a16="http://schemas.microsoft.com/office/drawing/2014/main" id="{5C2BF7B5-79EE-4380-AEBD-15B76A889DDF}"/>
            </a:ext>
          </a:extLst>
        </xdr:cNvPr>
        <xdr:cNvSpPr txBox="1"/>
      </xdr:nvSpPr>
      <xdr:spPr>
        <a:xfrm>
          <a:off x="1790700" y="1612900"/>
          <a:ext cx="6534150" cy="285750"/>
        </a:xfrm>
        <a:prstGeom prst="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wrap="square" rtlCol="0" anchor="t">
          <a:noAutofit/>
        </a:bodyPr>
        <a:lstStyle/>
        <a:p>
          <a:pPr algn="ctr"/>
          <a:r>
            <a:rPr lang="en-US" sz="1400">
              <a:solidFill>
                <a:schemeClr val="accent5">
                  <a:lumMod val="20000"/>
                  <a:lumOff val="80000"/>
                </a:schemeClr>
              </a:solidFill>
            </a:rPr>
            <a:t>Profitability Overview</a:t>
          </a:r>
          <a:r>
            <a:rPr lang="en-US" sz="1400" baseline="0">
              <a:solidFill>
                <a:schemeClr val="accent5">
                  <a:lumMod val="20000"/>
                  <a:lumOff val="80000"/>
                </a:schemeClr>
              </a:solidFill>
            </a:rPr>
            <a:t> by Region</a:t>
          </a:r>
          <a:endParaRPr lang="en-US" sz="1400">
            <a:solidFill>
              <a:schemeClr val="accent5">
                <a:lumMod val="20000"/>
                <a:lumOff val="80000"/>
              </a:schemeClr>
            </a:solidFill>
          </a:endParaRPr>
        </a:p>
      </xdr:txBody>
    </xdr:sp>
    <xdr:clientData/>
  </xdr:twoCellAnchor>
  <xdr:twoCellAnchor>
    <xdr:from>
      <xdr:col>12</xdr:col>
      <xdr:colOff>215900</xdr:colOff>
      <xdr:row>0</xdr:row>
      <xdr:rowOff>50800</xdr:rowOff>
    </xdr:from>
    <xdr:to>
      <xdr:col>16</xdr:col>
      <xdr:colOff>469900</xdr:colOff>
      <xdr:row>1</xdr:row>
      <xdr:rowOff>146050</xdr:rowOff>
    </xdr:to>
    <xdr:sp macro="" textlink="">
      <xdr:nvSpPr>
        <xdr:cNvPr id="12" name="TextBox 11">
          <a:extLst>
            <a:ext uri="{FF2B5EF4-FFF2-40B4-BE49-F238E27FC236}">
              <a16:creationId xmlns:a16="http://schemas.microsoft.com/office/drawing/2014/main" id="{C888D3E6-4F7B-4F46-B5AB-FA4D665E6617}"/>
            </a:ext>
          </a:extLst>
        </xdr:cNvPr>
        <xdr:cNvSpPr txBox="1"/>
      </xdr:nvSpPr>
      <xdr:spPr>
        <a:xfrm>
          <a:off x="8458200" y="50800"/>
          <a:ext cx="2863850" cy="317500"/>
        </a:xfrm>
        <a:prstGeom prst="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wrap="square" rtlCol="0" anchor="ctr">
          <a:noAutofit/>
        </a:bodyPr>
        <a:lstStyle/>
        <a:p>
          <a:pPr algn="ctr" rtl="0" eaLnBrk="1" fontAlgn="auto" latinLnBrk="0" hangingPunct="1"/>
          <a:r>
            <a:rPr lang="en-US" sz="1400" b="0" i="0" baseline="0">
              <a:solidFill>
                <a:schemeClr val="lt1"/>
              </a:solidFill>
              <a:effectLst/>
              <a:latin typeface="+mn-lt"/>
              <a:ea typeface="+mn-ea"/>
              <a:cs typeface="+mn-cs"/>
            </a:rPr>
            <a:t>Net Profit Contribution </a:t>
          </a:r>
          <a:endParaRPr lang="en-US" sz="1400">
            <a:effectLst/>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31750</xdr:colOff>
      <xdr:row>1</xdr:row>
      <xdr:rowOff>146050</xdr:rowOff>
    </xdr:from>
    <xdr:to>
      <xdr:col>17</xdr:col>
      <xdr:colOff>298450</xdr:colOff>
      <xdr:row>14</xdr:row>
      <xdr:rowOff>57150</xdr:rowOff>
    </xdr:to>
    <xdr:graphicFrame macro="">
      <xdr:nvGraphicFramePr>
        <xdr:cNvPr id="2" name="Chart 1">
          <a:extLst>
            <a:ext uri="{FF2B5EF4-FFF2-40B4-BE49-F238E27FC236}">
              <a16:creationId xmlns:a16="http://schemas.microsoft.com/office/drawing/2014/main" id="{E9393BCE-5BB4-4F68-AD28-BD866568C5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209550</xdr:rowOff>
    </xdr:from>
    <xdr:to>
      <xdr:col>2</xdr:col>
      <xdr:colOff>0</xdr:colOff>
      <xdr:row>9</xdr:row>
      <xdr:rowOff>50800</xdr:rowOff>
    </xdr:to>
    <mc:AlternateContent xmlns:mc="http://schemas.openxmlformats.org/markup-compatibility/2006" xmlns:a14="http://schemas.microsoft.com/office/drawing/2010/main">
      <mc:Choice Requires="a14">
        <xdr:graphicFrame macro="">
          <xdr:nvGraphicFramePr>
            <xdr:cNvPr id="3" name="PRODUCT">
              <a:extLst>
                <a:ext uri="{FF2B5EF4-FFF2-40B4-BE49-F238E27FC236}">
                  <a16:creationId xmlns:a16="http://schemas.microsoft.com/office/drawing/2014/main" id="{FB190EDF-96B6-4E74-AF15-71D923F31186}"/>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0" y="209550"/>
              <a:ext cx="1828800" cy="1333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95250</xdr:colOff>
      <xdr:row>16</xdr:row>
      <xdr:rowOff>101600</xdr:rowOff>
    </xdr:from>
    <xdr:to>
      <xdr:col>17</xdr:col>
      <xdr:colOff>304800</xdr:colOff>
      <xdr:row>23</xdr:row>
      <xdr:rowOff>120650</xdr:rowOff>
    </xdr:to>
    <xdr:graphicFrame macro="">
      <xdr:nvGraphicFramePr>
        <xdr:cNvPr id="9" name="Chart 8">
          <a:extLst>
            <a:ext uri="{FF2B5EF4-FFF2-40B4-BE49-F238E27FC236}">
              <a16:creationId xmlns:a16="http://schemas.microsoft.com/office/drawing/2014/main" id="{CA20474E-FAB2-4B32-BAA5-173B3241E2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88900</xdr:colOff>
      <xdr:row>4</xdr:row>
      <xdr:rowOff>101600</xdr:rowOff>
    </xdr:from>
    <xdr:to>
      <xdr:col>3</xdr:col>
      <xdr:colOff>1054566</xdr:colOff>
      <xdr:row>14</xdr:row>
      <xdr:rowOff>57150</xdr:rowOff>
    </xdr:to>
    <xdr:grpSp>
      <xdr:nvGrpSpPr>
        <xdr:cNvPr id="12" name="Group 11">
          <a:extLst>
            <a:ext uri="{FF2B5EF4-FFF2-40B4-BE49-F238E27FC236}">
              <a16:creationId xmlns:a16="http://schemas.microsoft.com/office/drawing/2014/main" id="{8F2E8940-B069-4DF0-924F-C52ACE2A5875}"/>
            </a:ext>
          </a:extLst>
        </xdr:cNvPr>
        <xdr:cNvGrpSpPr/>
      </xdr:nvGrpSpPr>
      <xdr:grpSpPr>
        <a:xfrm>
          <a:off x="1917700" y="800100"/>
          <a:ext cx="1854666" cy="1543050"/>
          <a:chOff x="1859069" y="1198584"/>
          <a:chExt cx="2202966" cy="2161486"/>
        </a:xfrm>
      </xdr:grpSpPr>
      <xdr:graphicFrame macro="">
        <xdr:nvGraphicFramePr>
          <xdr:cNvPr id="10" name="Chart 9">
            <a:extLst>
              <a:ext uri="{FF2B5EF4-FFF2-40B4-BE49-F238E27FC236}">
                <a16:creationId xmlns:a16="http://schemas.microsoft.com/office/drawing/2014/main" id="{EA62F07A-4E4A-4407-A39B-361D8A50A610}"/>
              </a:ext>
            </a:extLst>
          </xdr:cNvPr>
          <xdr:cNvGraphicFramePr>
            <a:graphicFrameLocks/>
          </xdr:cNvGraphicFramePr>
        </xdr:nvGraphicFramePr>
        <xdr:xfrm>
          <a:off x="1866612" y="1518804"/>
          <a:ext cx="2179785" cy="1841266"/>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11" name="TextBox 10">
            <a:extLst>
              <a:ext uri="{FF2B5EF4-FFF2-40B4-BE49-F238E27FC236}">
                <a16:creationId xmlns:a16="http://schemas.microsoft.com/office/drawing/2014/main" id="{2DF48B6F-D04A-40DB-BFFC-74AFE67A8551}"/>
              </a:ext>
            </a:extLst>
          </xdr:cNvPr>
          <xdr:cNvSpPr txBox="1"/>
        </xdr:nvSpPr>
        <xdr:spPr>
          <a:xfrm>
            <a:off x="1859069" y="1198584"/>
            <a:ext cx="2202966" cy="320993"/>
          </a:xfrm>
          <a:prstGeom prst="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wrap="square" rtlCol="0" anchor="t">
            <a:noAutofit/>
          </a:bodyPr>
          <a:lstStyle/>
          <a:p>
            <a:pPr algn="ctr"/>
            <a:r>
              <a:rPr lang="en-US" sz="1200">
                <a:solidFill>
                  <a:schemeClr val="accent5">
                    <a:lumMod val="20000"/>
                    <a:lumOff val="80000"/>
                  </a:schemeClr>
                </a:solidFill>
              </a:rPr>
              <a:t>Sales</a:t>
            </a:r>
            <a:r>
              <a:rPr lang="en-US" sz="1200" baseline="0">
                <a:solidFill>
                  <a:schemeClr val="accent5">
                    <a:lumMod val="20000"/>
                    <a:lumOff val="80000"/>
                  </a:schemeClr>
                </a:solidFill>
              </a:rPr>
              <a:t> Volume</a:t>
            </a:r>
            <a:endParaRPr lang="en-US" sz="1200">
              <a:solidFill>
                <a:schemeClr val="accent5">
                  <a:lumMod val="20000"/>
                  <a:lumOff val="80000"/>
                </a:schemeClr>
              </a:solidFill>
            </a:endParaRPr>
          </a:p>
        </xdr:txBody>
      </xdr:sp>
    </xdr:grpSp>
    <xdr:clientData/>
  </xdr:twoCellAnchor>
  <xdr:twoCellAnchor>
    <xdr:from>
      <xdr:col>2</xdr:col>
      <xdr:colOff>95250</xdr:colOff>
      <xdr:row>14</xdr:row>
      <xdr:rowOff>133350</xdr:rowOff>
    </xdr:from>
    <xdr:to>
      <xdr:col>17</xdr:col>
      <xdr:colOff>317500</xdr:colOff>
      <xdr:row>16</xdr:row>
      <xdr:rowOff>107950</xdr:rowOff>
    </xdr:to>
    <xdr:sp macro="" textlink="">
      <xdr:nvSpPr>
        <xdr:cNvPr id="14" name="TextBox 13">
          <a:extLst>
            <a:ext uri="{FF2B5EF4-FFF2-40B4-BE49-F238E27FC236}">
              <a16:creationId xmlns:a16="http://schemas.microsoft.com/office/drawing/2014/main" id="{0C83E77E-FF66-410A-BF0D-B06DBF296452}"/>
            </a:ext>
          </a:extLst>
        </xdr:cNvPr>
        <xdr:cNvSpPr txBox="1"/>
      </xdr:nvSpPr>
      <xdr:spPr>
        <a:xfrm>
          <a:off x="1924050" y="2419350"/>
          <a:ext cx="9753600" cy="292100"/>
        </a:xfrm>
        <a:prstGeom prst="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wrap="square" rtlCol="0" anchor="t">
          <a:noAutofit/>
        </a:bodyPr>
        <a:lstStyle/>
        <a:p>
          <a:pPr algn="ctr"/>
          <a:r>
            <a:rPr lang="en-US" sz="1400">
              <a:solidFill>
                <a:schemeClr val="accent5">
                  <a:lumMod val="20000"/>
                  <a:lumOff val="80000"/>
                </a:schemeClr>
              </a:solidFill>
            </a:rPr>
            <a:t>Profitability per Product</a:t>
          </a:r>
        </a:p>
      </xdr:txBody>
    </xdr:sp>
    <xdr:clientData/>
  </xdr:twoCellAnchor>
  <xdr:twoCellAnchor>
    <xdr:from>
      <xdr:col>2</xdr:col>
      <xdr:colOff>88900</xdr:colOff>
      <xdr:row>0</xdr:row>
      <xdr:rowOff>63501</xdr:rowOff>
    </xdr:from>
    <xdr:to>
      <xdr:col>3</xdr:col>
      <xdr:colOff>1041400</xdr:colOff>
      <xdr:row>1</xdr:row>
      <xdr:rowOff>101012</xdr:rowOff>
    </xdr:to>
    <xdr:sp macro="" textlink="">
      <xdr:nvSpPr>
        <xdr:cNvPr id="15" name="TextBox 14">
          <a:extLst>
            <a:ext uri="{FF2B5EF4-FFF2-40B4-BE49-F238E27FC236}">
              <a16:creationId xmlns:a16="http://schemas.microsoft.com/office/drawing/2014/main" id="{2F5029D3-66CF-48A6-A5BF-518CFD187C8B}"/>
            </a:ext>
          </a:extLst>
        </xdr:cNvPr>
        <xdr:cNvSpPr txBox="1"/>
      </xdr:nvSpPr>
      <xdr:spPr>
        <a:xfrm>
          <a:off x="1917700" y="63501"/>
          <a:ext cx="1841500" cy="259761"/>
        </a:xfrm>
        <a:prstGeom prst="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wrap="square" rtlCol="0" anchor="t">
          <a:noAutofit/>
        </a:bodyPr>
        <a:lstStyle/>
        <a:p>
          <a:pPr algn="ctr"/>
          <a:r>
            <a:rPr lang="en-US" sz="1400">
              <a:solidFill>
                <a:schemeClr val="accent5">
                  <a:lumMod val="20000"/>
                  <a:lumOff val="80000"/>
                </a:schemeClr>
              </a:solidFill>
            </a:rPr>
            <a:t>Profitability</a:t>
          </a:r>
        </a:p>
      </xdr:txBody>
    </xdr:sp>
    <xdr:clientData/>
  </xdr:twoCellAnchor>
  <xdr:twoCellAnchor>
    <xdr:from>
      <xdr:col>2</xdr:col>
      <xdr:colOff>95250</xdr:colOff>
      <xdr:row>1</xdr:row>
      <xdr:rowOff>95250</xdr:rowOff>
    </xdr:from>
    <xdr:to>
      <xdr:col>3</xdr:col>
      <xdr:colOff>1035050</xdr:colOff>
      <xdr:row>4</xdr:row>
      <xdr:rowOff>25400</xdr:rowOff>
    </xdr:to>
    <xdr:sp macro="" textlink="'Product Dashboard Design Space'!$I$13">
      <xdr:nvSpPr>
        <xdr:cNvPr id="13" name="TextBox 12">
          <a:extLst>
            <a:ext uri="{FF2B5EF4-FFF2-40B4-BE49-F238E27FC236}">
              <a16:creationId xmlns:a16="http://schemas.microsoft.com/office/drawing/2014/main" id="{66AA249A-A740-4683-8663-BCEC3907C80A}"/>
            </a:ext>
          </a:extLst>
        </xdr:cNvPr>
        <xdr:cNvSpPr txBox="1"/>
      </xdr:nvSpPr>
      <xdr:spPr>
        <a:xfrm>
          <a:off x="1924050" y="317500"/>
          <a:ext cx="1828800" cy="406400"/>
        </a:xfrm>
        <a:prstGeom prst="rect">
          <a:avLst/>
        </a:prstGeom>
        <a:solidFill>
          <a:schemeClr val="lt1"/>
        </a:solidFill>
        <a:ln w="9525" cmpd="sng">
          <a:solidFill>
            <a:schemeClr val="accent5">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FC38F5C-3654-4B3A-92CF-AC0A2793E704}" type="TxLink">
            <a:rPr lang="en-US" sz="2000" b="0" i="0" u="none" strike="noStrike">
              <a:solidFill>
                <a:srgbClr val="000000"/>
              </a:solidFill>
              <a:latin typeface="Arial"/>
              <a:cs typeface="Arial"/>
            </a:rPr>
            <a:pPr algn="ctr"/>
            <a:t> $1,432,090 </a:t>
          </a:fld>
          <a:endParaRPr lang="en-US" sz="400000"/>
        </a:p>
      </xdr:txBody>
    </xdr:sp>
    <xdr:clientData/>
  </xdr:twoCellAnchor>
  <xdr:twoCellAnchor editAs="oneCell">
    <xdr:from>
      <xdr:col>0</xdr:col>
      <xdr:colOff>0</xdr:colOff>
      <xdr:row>9</xdr:row>
      <xdr:rowOff>69850</xdr:rowOff>
    </xdr:from>
    <xdr:to>
      <xdr:col>2</xdr:col>
      <xdr:colOff>0</xdr:colOff>
      <xdr:row>16</xdr:row>
      <xdr:rowOff>25400</xdr:rowOff>
    </xdr:to>
    <mc:AlternateContent xmlns:mc="http://schemas.openxmlformats.org/markup-compatibility/2006" xmlns:a14="http://schemas.microsoft.com/office/drawing/2010/main">
      <mc:Choice Requires="a14">
        <xdr:graphicFrame macro="">
          <xdr:nvGraphicFramePr>
            <xdr:cNvPr id="16" name="YEAR 1">
              <a:extLst>
                <a:ext uri="{FF2B5EF4-FFF2-40B4-BE49-F238E27FC236}">
                  <a16:creationId xmlns:a16="http://schemas.microsoft.com/office/drawing/2014/main" id="{BAE70845-AD1E-4CB8-BDD4-1DB2EF8521C8}"/>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0" y="1562100"/>
              <a:ext cx="1828800" cy="1066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19050</xdr:colOff>
      <xdr:row>0</xdr:row>
      <xdr:rowOff>69850</xdr:rowOff>
    </xdr:from>
    <xdr:to>
      <xdr:col>17</xdr:col>
      <xdr:colOff>304800</xdr:colOff>
      <xdr:row>1</xdr:row>
      <xdr:rowOff>139700</xdr:rowOff>
    </xdr:to>
    <xdr:sp macro="" textlink="">
      <xdr:nvSpPr>
        <xdr:cNvPr id="18" name="TextBox 17">
          <a:extLst>
            <a:ext uri="{FF2B5EF4-FFF2-40B4-BE49-F238E27FC236}">
              <a16:creationId xmlns:a16="http://schemas.microsoft.com/office/drawing/2014/main" id="{DAC6C905-914C-4EE1-8DC5-E36AA0AD87C4}"/>
            </a:ext>
          </a:extLst>
        </xdr:cNvPr>
        <xdr:cNvSpPr txBox="1"/>
      </xdr:nvSpPr>
      <xdr:spPr>
        <a:xfrm>
          <a:off x="3886200" y="69850"/>
          <a:ext cx="7778750" cy="292100"/>
        </a:xfrm>
        <a:prstGeom prst="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wrap="square" rtlCol="0" anchor="t">
          <a:noAutofit/>
        </a:bodyPr>
        <a:lstStyle/>
        <a:p>
          <a:pPr algn="ctr"/>
          <a:r>
            <a:rPr lang="en-US" sz="1400">
              <a:solidFill>
                <a:schemeClr val="accent5">
                  <a:lumMod val="20000"/>
                  <a:lumOff val="80000"/>
                </a:schemeClr>
              </a:solidFill>
            </a:rPr>
            <a:t>Profitability</a:t>
          </a:r>
        </a:p>
      </xdr:txBody>
    </xdr:sp>
    <xdr:clientData/>
  </xdr:twoCellAnchor>
  <xdr:twoCellAnchor editAs="oneCell">
    <xdr:from>
      <xdr:col>0</xdr:col>
      <xdr:colOff>0</xdr:colOff>
      <xdr:row>16</xdr:row>
      <xdr:rowOff>44450</xdr:rowOff>
    </xdr:from>
    <xdr:to>
      <xdr:col>2</xdr:col>
      <xdr:colOff>0</xdr:colOff>
      <xdr:row>25</xdr:row>
      <xdr:rowOff>6350</xdr:rowOff>
    </xdr:to>
    <mc:AlternateContent xmlns:mc="http://schemas.openxmlformats.org/markup-compatibility/2006" xmlns:a14="http://schemas.microsoft.com/office/drawing/2010/main">
      <mc:Choice Requires="a14">
        <xdr:graphicFrame macro="">
          <xdr:nvGraphicFramePr>
            <xdr:cNvPr id="19" name="LOCATION 1">
              <a:extLst>
                <a:ext uri="{FF2B5EF4-FFF2-40B4-BE49-F238E27FC236}">
                  <a16:creationId xmlns:a16="http://schemas.microsoft.com/office/drawing/2014/main" id="{A74EB817-3CA6-4523-A86D-2D31F2D530A2}"/>
                </a:ext>
              </a:extLst>
            </xdr:cNvPr>
            <xdr:cNvGraphicFramePr/>
          </xdr:nvGraphicFramePr>
          <xdr:xfrm>
            <a:off x="0" y="0"/>
            <a:ext cx="0" cy="0"/>
          </xdr:xfrm>
          <a:graphic>
            <a:graphicData uri="http://schemas.microsoft.com/office/drawing/2010/slicer">
              <sle:slicer xmlns:sle="http://schemas.microsoft.com/office/drawing/2010/slicer" name="LOCATION 1"/>
            </a:graphicData>
          </a:graphic>
        </xdr:graphicFrame>
      </mc:Choice>
      <mc:Fallback xmlns="">
        <xdr:sp macro="" textlink="">
          <xdr:nvSpPr>
            <xdr:cNvPr id="0" name=""/>
            <xdr:cNvSpPr>
              <a:spLocks noTextEdit="1"/>
            </xdr:cNvSpPr>
          </xdr:nvSpPr>
          <xdr:spPr>
            <a:xfrm>
              <a:off x="0" y="2647950"/>
              <a:ext cx="1828800" cy="1390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27</xdr:row>
      <xdr:rowOff>0</xdr:rowOff>
    </xdr:from>
    <xdr:to>
      <xdr:col>6</xdr:col>
      <xdr:colOff>785813</xdr:colOff>
      <xdr:row>50</xdr:row>
      <xdr:rowOff>219075</xdr:rowOff>
    </xdr:to>
    <xdr:sp macro="" textlink="">
      <xdr:nvSpPr>
        <xdr:cNvPr id="3" name="TextBox 2">
          <a:extLst>
            <a:ext uri="{FF2B5EF4-FFF2-40B4-BE49-F238E27FC236}">
              <a16:creationId xmlns:a16="http://schemas.microsoft.com/office/drawing/2014/main" id="{00000000-0008-0000-1400-000003000000}"/>
            </a:ext>
          </a:extLst>
        </xdr:cNvPr>
        <xdr:cNvSpPr txBox="1"/>
      </xdr:nvSpPr>
      <xdr:spPr>
        <a:xfrm>
          <a:off x="609600" y="4762500"/>
          <a:ext cx="8386763" cy="4514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000" b="1">
              <a:solidFill>
                <a:schemeClr val="dk1"/>
              </a:solidFill>
              <a:effectLst/>
              <a:latin typeface="+mn-lt"/>
              <a:ea typeface="+mn-ea"/>
              <a:cs typeface="+mn-cs"/>
            </a:rPr>
            <a:t>Maroochydore Store Analysis</a:t>
          </a:r>
          <a:endParaRPr lang="en-AU" sz="1000">
            <a:effectLst/>
          </a:endParaRPr>
        </a:p>
        <a:p>
          <a:r>
            <a:rPr lang="en-AU" sz="1000">
              <a:solidFill>
                <a:schemeClr val="dk1"/>
              </a:solidFill>
              <a:effectLst/>
              <a:latin typeface="+mn-lt"/>
              <a:ea typeface="+mn-ea"/>
              <a:cs typeface="+mn-cs"/>
            </a:rPr>
            <a:t> </a:t>
          </a:r>
          <a:endParaRPr lang="en-AU" sz="1000">
            <a:effectLst/>
          </a:endParaRPr>
        </a:p>
        <a:p>
          <a:r>
            <a:rPr lang="en-AU" sz="1000" u="sng">
              <a:solidFill>
                <a:schemeClr val="dk1"/>
              </a:solidFill>
              <a:effectLst/>
              <a:latin typeface="+mn-lt"/>
              <a:ea typeface="+mn-ea"/>
              <a:cs typeface="+mn-cs"/>
            </a:rPr>
            <a:t>Assumptions:</a:t>
          </a:r>
          <a:endParaRPr lang="en-AU" sz="1000">
            <a:effectLst/>
          </a:endParaRPr>
        </a:p>
        <a:p>
          <a:r>
            <a:rPr lang="en-AU" sz="1000">
              <a:solidFill>
                <a:schemeClr val="dk1"/>
              </a:solidFill>
              <a:effectLst/>
              <a:latin typeface="+mn-lt"/>
              <a:ea typeface="+mn-ea"/>
              <a:cs typeface="+mn-cs"/>
            </a:rPr>
            <a:t>The sales volumes and costs of the new Maroochydore outlet are expected to be similar to the Gold Coast.</a:t>
          </a:r>
          <a:endParaRPr lang="en-AU" sz="1000">
            <a:effectLst/>
          </a:endParaRPr>
        </a:p>
        <a:p>
          <a:r>
            <a:rPr lang="en-AU" sz="1000">
              <a:solidFill>
                <a:schemeClr val="dk1"/>
              </a:solidFill>
              <a:effectLst/>
              <a:latin typeface="+mn-lt"/>
              <a:ea typeface="+mn-ea"/>
              <a:cs typeface="+mn-cs"/>
            </a:rPr>
            <a:t>There is a establishment cost of $1 million. But</a:t>
          </a:r>
          <a:r>
            <a:rPr lang="en-AU" sz="1000" baseline="0">
              <a:solidFill>
                <a:schemeClr val="dk1"/>
              </a:solidFill>
              <a:effectLst/>
              <a:latin typeface="+mn-lt"/>
              <a:ea typeface="+mn-ea"/>
              <a:cs typeface="+mn-cs"/>
            </a:rPr>
            <a:t> financing through a 5 year Mbank loan. Annual loan payment is calculated using Financing Option </a:t>
          </a:r>
          <a:endParaRPr lang="en-AU" sz="1000">
            <a:effectLst/>
          </a:endParaRPr>
        </a:p>
        <a:p>
          <a:r>
            <a:rPr lang="en-AU" sz="1000">
              <a:solidFill>
                <a:schemeClr val="dk1"/>
              </a:solidFill>
              <a:effectLst/>
              <a:latin typeface="+mn-lt"/>
              <a:ea typeface="+mn-ea"/>
              <a:cs typeface="+mn-cs"/>
            </a:rPr>
            <a:t>The Forecast Income Statement for Maroochydore is similar to the Gold Coast with additional annual </a:t>
          </a:r>
          <a:r>
            <a:rPr lang="en-AU" sz="1000" baseline="0">
              <a:solidFill>
                <a:schemeClr val="dk1"/>
              </a:solidFill>
              <a:effectLst/>
              <a:latin typeface="+mn-lt"/>
              <a:ea typeface="+mn-ea"/>
              <a:cs typeface="+mn-cs"/>
            </a:rPr>
            <a:t> </a:t>
          </a:r>
          <a:r>
            <a:rPr lang="en-AU" sz="1000">
              <a:solidFill>
                <a:schemeClr val="dk1"/>
              </a:solidFill>
              <a:effectLst/>
              <a:latin typeface="+mn-lt"/>
              <a:ea typeface="+mn-ea"/>
              <a:cs typeface="+mn-cs"/>
            </a:rPr>
            <a:t>establishment cost (annual loan payment)</a:t>
          </a:r>
          <a:endParaRPr lang="en-AU" sz="1000">
            <a:effectLst/>
          </a:endParaRPr>
        </a:p>
        <a:p>
          <a:r>
            <a:rPr lang="en-AU" sz="1000">
              <a:solidFill>
                <a:schemeClr val="dk1"/>
              </a:solidFill>
              <a:effectLst/>
              <a:latin typeface="+mn-lt"/>
              <a:ea typeface="+mn-ea"/>
              <a:cs typeface="+mn-cs"/>
            </a:rPr>
            <a:t> </a:t>
          </a:r>
          <a:endParaRPr lang="en-AU" sz="1000">
            <a:effectLst/>
          </a:endParaRPr>
        </a:p>
        <a:p>
          <a:r>
            <a:rPr lang="en-AU" sz="1000">
              <a:solidFill>
                <a:schemeClr val="dk1"/>
              </a:solidFill>
              <a:effectLst/>
              <a:latin typeface="+mn-lt"/>
              <a:ea typeface="+mn-ea"/>
              <a:cs typeface="+mn-cs"/>
            </a:rPr>
            <a:t>Scenario Analysis</a:t>
          </a:r>
          <a:endParaRPr lang="en-AU" sz="1000">
            <a:effectLst/>
          </a:endParaRPr>
        </a:p>
        <a:p>
          <a:r>
            <a:rPr lang="en-AU" sz="1000" b="1">
              <a:solidFill>
                <a:schemeClr val="dk1"/>
              </a:solidFill>
              <a:effectLst/>
              <a:latin typeface="+mn-lt"/>
              <a:ea typeface="+mn-ea"/>
              <a:cs typeface="+mn-cs"/>
            </a:rPr>
            <a:t>Scenario 1: </a:t>
          </a:r>
          <a:endParaRPr lang="en-AU" sz="1000">
            <a:effectLst/>
          </a:endParaRPr>
        </a:p>
        <a:p>
          <a:r>
            <a:rPr lang="en-AU" sz="1000">
              <a:solidFill>
                <a:schemeClr val="dk1"/>
              </a:solidFill>
              <a:effectLst/>
              <a:latin typeface="+mn-lt"/>
              <a:ea typeface="+mn-ea"/>
              <a:cs typeface="+mn-cs"/>
            </a:rPr>
            <a:t>Setting staff level to 12 staff (1 Manager, 2 Admin Staff, 9 Sale Staff)</a:t>
          </a:r>
          <a:endParaRPr lang="en-AU" sz="1000">
            <a:effectLst/>
          </a:endParaRPr>
        </a:p>
        <a:p>
          <a:r>
            <a:rPr lang="en-AU" sz="1000">
              <a:solidFill>
                <a:schemeClr val="dk1"/>
              </a:solidFill>
              <a:effectLst/>
              <a:latin typeface="+mn-lt"/>
              <a:ea typeface="+mn-ea"/>
              <a:cs typeface="+mn-cs"/>
            </a:rPr>
            <a:t>Construct a forecast income statement for Maroochydore and varying revenue (0% growth, 10% decrease, 10% increase and 20% increase) AND</a:t>
          </a:r>
          <a:endParaRPr lang="en-AU" sz="1000">
            <a:effectLst/>
          </a:endParaRPr>
        </a:p>
        <a:p>
          <a:r>
            <a:rPr lang="en-AU" sz="1000">
              <a:solidFill>
                <a:schemeClr val="dk1"/>
              </a:solidFill>
              <a:effectLst/>
              <a:latin typeface="+mn-lt"/>
              <a:ea typeface="+mn-ea"/>
              <a:cs typeface="+mn-cs"/>
            </a:rPr>
            <a:t> </a:t>
          </a:r>
          <a:endParaRPr lang="en-AU" sz="1000">
            <a:effectLst/>
          </a:endParaRPr>
        </a:p>
        <a:p>
          <a:r>
            <a:rPr lang="en-AU" sz="1000" b="1">
              <a:solidFill>
                <a:schemeClr val="dk1"/>
              </a:solidFill>
              <a:effectLst/>
              <a:latin typeface="+mn-lt"/>
              <a:ea typeface="+mn-ea"/>
              <a:cs typeface="+mn-cs"/>
            </a:rPr>
            <a:t>Scenario 2: </a:t>
          </a:r>
          <a:endParaRPr lang="en-AU" sz="1000">
            <a:effectLst/>
          </a:endParaRPr>
        </a:p>
        <a:p>
          <a:r>
            <a:rPr lang="en-AU" sz="1000">
              <a:solidFill>
                <a:schemeClr val="dk1"/>
              </a:solidFill>
              <a:effectLst/>
              <a:latin typeface="+mn-lt"/>
              <a:ea typeface="+mn-ea"/>
              <a:cs typeface="+mn-cs"/>
            </a:rPr>
            <a:t>Setting staff level to 6 staff (1 Manager, 1 Admin Staff, 4 Sale Staff) – 0% growth in revenue</a:t>
          </a:r>
          <a:endParaRPr lang="en-AU" sz="1000">
            <a:effectLst/>
          </a:endParaRPr>
        </a:p>
        <a:p>
          <a:r>
            <a:rPr lang="en-AU" sz="1000">
              <a:solidFill>
                <a:schemeClr val="dk1"/>
              </a:solidFill>
              <a:effectLst/>
              <a:latin typeface="+mn-lt"/>
              <a:ea typeface="+mn-ea"/>
              <a:cs typeface="+mn-cs"/>
            </a:rPr>
            <a:t> </a:t>
          </a:r>
          <a:endParaRPr lang="en-AU" sz="1000">
            <a:effectLst/>
          </a:endParaRPr>
        </a:p>
        <a:p>
          <a:r>
            <a:rPr lang="en-AU" sz="1000" b="1">
              <a:solidFill>
                <a:schemeClr val="dk1"/>
              </a:solidFill>
              <a:effectLst/>
              <a:latin typeface="+mn-lt"/>
              <a:ea typeface="+mn-ea"/>
              <a:cs typeface="+mn-cs"/>
            </a:rPr>
            <a:t>Scenario 3: </a:t>
          </a:r>
          <a:endParaRPr lang="en-AU" sz="1000">
            <a:effectLst/>
          </a:endParaRPr>
        </a:p>
        <a:p>
          <a:r>
            <a:rPr lang="en-AU" sz="1000">
              <a:solidFill>
                <a:schemeClr val="dk1"/>
              </a:solidFill>
              <a:effectLst/>
              <a:latin typeface="+mn-lt"/>
              <a:ea typeface="+mn-ea"/>
              <a:cs typeface="+mn-cs"/>
            </a:rPr>
            <a:t>Setting staff level to 6 staff (1 Manager, 1 Admin Staff, 4 Sale Staff) – 5% growth in revenue with establishment cost.</a:t>
          </a:r>
          <a:endParaRPr lang="en-AU" sz="1000">
            <a:effectLst/>
          </a:endParaRPr>
        </a:p>
        <a:p>
          <a:r>
            <a:rPr lang="en-AU" sz="1000">
              <a:solidFill>
                <a:schemeClr val="dk1"/>
              </a:solidFill>
              <a:effectLst/>
              <a:latin typeface="+mn-lt"/>
              <a:ea typeface="+mn-ea"/>
              <a:cs typeface="+mn-cs"/>
            </a:rPr>
            <a:t> </a:t>
          </a:r>
          <a:endParaRPr lang="en-AU" sz="1000">
            <a:effectLst/>
          </a:endParaRPr>
        </a:p>
        <a:p>
          <a:r>
            <a:rPr lang="en-AU" sz="1000" b="1">
              <a:solidFill>
                <a:schemeClr val="dk1"/>
              </a:solidFill>
              <a:effectLst/>
              <a:latin typeface="+mn-lt"/>
              <a:ea typeface="+mn-ea"/>
              <a:cs typeface="+mn-cs"/>
            </a:rPr>
            <a:t>Scenario 4: </a:t>
          </a:r>
          <a:endParaRPr lang="en-AU" sz="1000">
            <a:effectLst/>
          </a:endParaRPr>
        </a:p>
        <a:p>
          <a:r>
            <a:rPr lang="en-AU" sz="1000">
              <a:solidFill>
                <a:schemeClr val="dk1"/>
              </a:solidFill>
              <a:effectLst/>
              <a:latin typeface="+mn-lt"/>
              <a:ea typeface="+mn-ea"/>
              <a:cs typeface="+mn-cs"/>
            </a:rPr>
            <a:t>Setting staff level to 6 staff (1 Manager, 1 Admin Staff, 4 Sale Staff) – 10% growth in revenue with establishment </a:t>
          </a:r>
        </a:p>
        <a:p>
          <a:r>
            <a:rPr lang="en-AU" sz="1000">
              <a:solidFill>
                <a:schemeClr val="dk1"/>
              </a:solidFill>
              <a:effectLst/>
              <a:latin typeface="+mn-lt"/>
              <a:ea typeface="+mn-ea"/>
              <a:cs typeface="+mn-cs"/>
            </a:rPr>
            <a:t> </a:t>
          </a:r>
          <a:endParaRPr lang="en-AU" sz="1000">
            <a:effectLst/>
          </a:endParaRPr>
        </a:p>
        <a:p>
          <a:r>
            <a:rPr lang="en-AU" sz="1000">
              <a:solidFill>
                <a:schemeClr val="dk1"/>
              </a:solidFill>
              <a:effectLst/>
              <a:latin typeface="+mn-lt"/>
              <a:ea typeface="+mn-ea"/>
              <a:cs typeface="+mn-cs"/>
            </a:rPr>
            <a:t>(You can use other settings, but the interpretation MUST be based on scenarios of your setting)</a:t>
          </a:r>
          <a:endParaRPr lang="en-AU" sz="1000">
            <a:effectLst/>
          </a:endParaRPr>
        </a:p>
        <a:p>
          <a:r>
            <a:rPr lang="en-AU" sz="1000">
              <a:solidFill>
                <a:schemeClr val="dk1"/>
              </a:solidFill>
              <a:effectLst/>
              <a:latin typeface="+mn-lt"/>
              <a:ea typeface="+mn-ea"/>
              <a:cs typeface="+mn-cs"/>
            </a:rPr>
            <a:t> </a:t>
          </a:r>
          <a:endParaRPr lang="en-AU" sz="1000">
            <a:effectLst/>
          </a:endParaRPr>
        </a:p>
        <a:p>
          <a:r>
            <a:rPr lang="en-AU" sz="1000">
              <a:solidFill>
                <a:schemeClr val="dk1"/>
              </a:solidFill>
              <a:effectLst/>
              <a:latin typeface="+mn-lt"/>
              <a:ea typeface="+mn-ea"/>
              <a:cs typeface="+mn-cs"/>
            </a:rPr>
            <a:t>  </a:t>
          </a:r>
          <a:endParaRPr lang="en-AU" sz="1000">
            <a:effectLst/>
          </a:endParaRPr>
        </a:p>
        <a:p>
          <a:endParaRPr lang="en-AU" sz="10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goc" refreshedDate="44568.905079629629" createdVersion="7" refreshedVersion="7" minRefreshableVersion="3" recordCount="72" xr:uid="{1C4D5BAE-8511-499C-A213-850F408D1813}">
  <cacheSource type="worksheet">
    <worksheetSource name="Financial"/>
  </cacheSource>
  <cacheFields count="4">
    <cacheField name="YEAR" numFmtId="0">
      <sharedItems containsSemiMixedTypes="0" containsString="0" containsNumber="1" containsInteger="1" minValue="2019" maxValue="2021" count="3">
        <n v="2019"/>
        <n v="2020"/>
        <n v="2021"/>
      </sharedItems>
    </cacheField>
    <cacheField name="LOCATION" numFmtId="0">
      <sharedItems count="4">
        <s v="Brisbane"/>
        <s v="Gold Coast"/>
        <s v="Townsville"/>
        <s v="Cairns"/>
      </sharedItems>
    </cacheField>
    <cacheField name="FIN TYPE" numFmtId="0">
      <sharedItems count="6">
        <s v="LABOUR"/>
        <s v="FAOC"/>
        <s v="VUAOC"/>
        <s v="APC"/>
        <s v="COGS"/>
        <s v="REVENUE"/>
      </sharedItems>
    </cacheField>
    <cacheField name="AMOUNT" numFmtId="0">
      <sharedItems containsSemiMixedTypes="0" containsString="0" containsNumber="1" minValue="40000" maxValue="10833550"/>
    </cacheField>
  </cacheFields>
  <extLst>
    <ext xmlns:x14="http://schemas.microsoft.com/office/spreadsheetml/2009/9/main" uri="{725AE2AE-9491-48be-B2B4-4EB974FC3084}">
      <x14:pivotCacheDefinition pivotCacheId="143676171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goc" refreshedDate="44573.599740162033" createdVersion="7" refreshedVersion="7" minRefreshableVersion="3" recordCount="84" xr:uid="{9A8056B6-FF5E-4821-ABD9-9708392E221E}">
  <cacheSource type="worksheet">
    <worksheetSource name="Product_Profit"/>
  </cacheSource>
  <cacheFields count="11">
    <cacheField name="YEAR" numFmtId="0">
      <sharedItems containsSemiMixedTypes="0" containsString="0" containsNumber="1" containsInteger="1" minValue="2019" maxValue="2021" count="3">
        <n v="2019"/>
        <n v="2020"/>
        <n v="2021"/>
      </sharedItems>
    </cacheField>
    <cacheField name="LOCATION" numFmtId="0">
      <sharedItems count="4">
        <s v="Brisbane"/>
        <s v="Gold Coast"/>
        <s v="Townsville"/>
        <s v="Cairns"/>
      </sharedItems>
    </cacheField>
    <cacheField name="PRODUCT" numFmtId="0">
      <sharedItems count="7">
        <s v="Washing Machines"/>
        <s v="Fridges"/>
        <s v="Computers and Tablets"/>
        <s v="Microwaves"/>
        <s v="TVs"/>
        <s v="Mobile Phones"/>
        <s v="Games and Consoles"/>
      </sharedItems>
    </cacheField>
    <cacheField name="SALES REVENUE" numFmtId="0">
      <sharedItems containsSemiMixedTypes="0" containsString="0" containsNumber="1" containsInteger="1" minValue="360400" maxValue="2352350"/>
    </cacheField>
    <cacheField name="COGS" numFmtId="0">
      <sharedItems containsSemiMixedTypes="0" containsString="0" containsNumber="1" containsInteger="1" minValue="279840" maxValue="1990450"/>
    </cacheField>
    <cacheField name="PRODUCT PROFITABILITY" numFmtId="0">
      <sharedItems containsSemiMixedTypes="0" containsString="0" containsNumber="1" containsInteger="1" minValue="5250" maxValue="761020"/>
    </cacheField>
    <cacheField name="SALES TARGET" numFmtId="0">
      <sharedItems containsSemiMixedTypes="0" containsString="0" containsNumber="1" containsInteger="1" minValue="300" maxValue="3210" count="29">
        <n v="2000"/>
        <n v="3000"/>
        <n v="800"/>
        <n v="2400"/>
        <n v="1400"/>
        <n v="1900"/>
        <n v="1800"/>
        <n v="2600"/>
        <n v="700"/>
        <n v="2100"/>
        <n v="1200"/>
        <n v="1700"/>
        <n v="1100"/>
        <n v="1600"/>
        <n v="500"/>
        <n v="1300"/>
        <n v="1000"/>
        <n v="300"/>
        <n v="900"/>
        <n v="2300"/>
        <n v="1500"/>
        <n v="400"/>
        <n v="600"/>
        <n v="2140"/>
        <n v="3210"/>
        <n v="856"/>
        <n v="2568"/>
        <n v="1498"/>
        <n v="2033"/>
      </sharedItems>
    </cacheField>
    <cacheField name="ACTUAL SALES" numFmtId="0">
      <sharedItems containsSemiMixedTypes="0" containsString="0" containsNumber="1" containsInteger="1" minValue="424" maxValue="3619"/>
    </cacheField>
    <cacheField name="TARGET ANALYSIS" numFmtId="0">
      <sharedItems containsSemiMixedTypes="0" containsString="0" containsNumber="1" containsInteger="1" minValue="-484" maxValue="787"/>
    </cacheField>
    <cacheField name="SALES PERFORMANCE" numFmtId="170">
      <sharedItems containsSemiMixedTypes="0" containsString="0" containsNumber="1" minValue="-0.29333333333333333" maxValue="1.1333333333333333"/>
    </cacheField>
    <cacheField name="Over Target" numFmtId="0" formula="IF('ACTUAL SALES'&gt;'SALES TARGET','ACTUAL SALES',&quot;&quot;)" databaseField="0"/>
  </cacheFields>
  <extLst>
    <ext xmlns:x14="http://schemas.microsoft.com/office/spreadsheetml/2009/9/main" uri="{725AE2AE-9491-48be-B2B4-4EB974FC3084}">
      <x14:pivotCacheDefinition pivotCacheId="16163572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2">
  <r>
    <x v="0"/>
    <x v="0"/>
    <x v="0"/>
    <n v="735000"/>
  </r>
  <r>
    <x v="1"/>
    <x v="0"/>
    <x v="0"/>
    <n v="760000"/>
  </r>
  <r>
    <x v="2"/>
    <x v="0"/>
    <x v="0"/>
    <n v="794000"/>
  </r>
  <r>
    <x v="0"/>
    <x v="1"/>
    <x v="0"/>
    <n v="677000"/>
  </r>
  <r>
    <x v="1"/>
    <x v="1"/>
    <x v="0"/>
    <n v="700000"/>
  </r>
  <r>
    <x v="2"/>
    <x v="1"/>
    <x v="0"/>
    <n v="731000"/>
  </r>
  <r>
    <x v="0"/>
    <x v="2"/>
    <x v="0"/>
    <n v="405000"/>
  </r>
  <r>
    <x v="1"/>
    <x v="2"/>
    <x v="0"/>
    <n v="419000"/>
  </r>
  <r>
    <x v="2"/>
    <x v="2"/>
    <x v="0"/>
    <n v="437000"/>
  </r>
  <r>
    <x v="0"/>
    <x v="3"/>
    <x v="0"/>
    <n v="347000"/>
  </r>
  <r>
    <x v="1"/>
    <x v="3"/>
    <x v="0"/>
    <n v="359000"/>
  </r>
  <r>
    <x v="2"/>
    <x v="3"/>
    <x v="0"/>
    <n v="374000"/>
  </r>
  <r>
    <x v="0"/>
    <x v="0"/>
    <x v="1"/>
    <n v="300000"/>
  </r>
  <r>
    <x v="1"/>
    <x v="0"/>
    <x v="1"/>
    <n v="300000"/>
  </r>
  <r>
    <x v="2"/>
    <x v="0"/>
    <x v="1"/>
    <n v="300000"/>
  </r>
  <r>
    <x v="0"/>
    <x v="1"/>
    <x v="1"/>
    <n v="285000"/>
  </r>
  <r>
    <x v="1"/>
    <x v="1"/>
    <x v="1"/>
    <n v="285000"/>
  </r>
  <r>
    <x v="2"/>
    <x v="1"/>
    <x v="1"/>
    <n v="285000"/>
  </r>
  <r>
    <x v="0"/>
    <x v="2"/>
    <x v="1"/>
    <n v="130000"/>
  </r>
  <r>
    <x v="1"/>
    <x v="2"/>
    <x v="1"/>
    <n v="130000"/>
  </r>
  <r>
    <x v="2"/>
    <x v="2"/>
    <x v="1"/>
    <n v="130000"/>
  </r>
  <r>
    <x v="0"/>
    <x v="3"/>
    <x v="1"/>
    <n v="115000"/>
  </r>
  <r>
    <x v="1"/>
    <x v="3"/>
    <x v="1"/>
    <n v="115000"/>
  </r>
  <r>
    <x v="2"/>
    <x v="3"/>
    <x v="1"/>
    <n v="115000"/>
  </r>
  <r>
    <x v="0"/>
    <x v="0"/>
    <x v="2"/>
    <n v="690144.00000000012"/>
  </r>
  <r>
    <x v="1"/>
    <x v="0"/>
    <x v="2"/>
    <n v="664263.60000000009"/>
  </r>
  <r>
    <x v="2"/>
    <x v="0"/>
    <x v="2"/>
    <n v="832486.20000000007"/>
  </r>
  <r>
    <x v="0"/>
    <x v="1"/>
    <x v="2"/>
    <n v="440756.4"/>
  </r>
  <r>
    <x v="1"/>
    <x v="1"/>
    <x v="2"/>
    <n v="447190.80000000005"/>
  </r>
  <r>
    <x v="2"/>
    <x v="1"/>
    <x v="2"/>
    <n v="443973.60000000003"/>
  </r>
  <r>
    <x v="0"/>
    <x v="2"/>
    <x v="2"/>
    <n v="315903"/>
  </r>
  <r>
    <x v="1"/>
    <x v="2"/>
    <x v="2"/>
    <n v="306232.5"/>
  </r>
  <r>
    <x v="2"/>
    <x v="2"/>
    <x v="2"/>
    <n v="464184"/>
  </r>
  <r>
    <x v="0"/>
    <x v="3"/>
    <x v="2"/>
    <n v="185068.80000000002"/>
  </r>
  <r>
    <x v="1"/>
    <x v="3"/>
    <x v="2"/>
    <n v="244188"/>
  </r>
  <r>
    <x v="2"/>
    <x v="3"/>
    <x v="2"/>
    <n v="280173.60000000003"/>
  </r>
  <r>
    <x v="0"/>
    <x v="0"/>
    <x v="3"/>
    <n v="95000"/>
  </r>
  <r>
    <x v="1"/>
    <x v="0"/>
    <x v="3"/>
    <n v="95000"/>
  </r>
  <r>
    <x v="2"/>
    <x v="0"/>
    <x v="3"/>
    <n v="100000"/>
  </r>
  <r>
    <x v="0"/>
    <x v="1"/>
    <x v="3"/>
    <n v="90000"/>
  </r>
  <r>
    <x v="1"/>
    <x v="1"/>
    <x v="3"/>
    <n v="85000"/>
  </r>
  <r>
    <x v="2"/>
    <x v="1"/>
    <x v="3"/>
    <n v="85000"/>
  </r>
  <r>
    <x v="0"/>
    <x v="2"/>
    <x v="3"/>
    <n v="60000"/>
  </r>
  <r>
    <x v="1"/>
    <x v="2"/>
    <x v="3"/>
    <n v="70000"/>
  </r>
  <r>
    <x v="2"/>
    <x v="2"/>
    <x v="3"/>
    <n v="75000"/>
  </r>
  <r>
    <x v="0"/>
    <x v="3"/>
    <x v="3"/>
    <n v="40000"/>
  </r>
  <r>
    <x v="1"/>
    <x v="3"/>
    <x v="3"/>
    <n v="40000"/>
  </r>
  <r>
    <x v="2"/>
    <x v="3"/>
    <x v="3"/>
    <n v="42000"/>
  </r>
  <r>
    <x v="0"/>
    <x v="0"/>
    <x v="4"/>
    <n v="7187875"/>
  </r>
  <r>
    <x v="1"/>
    <x v="0"/>
    <x v="4"/>
    <n v="7127170"/>
  </r>
  <r>
    <x v="2"/>
    <x v="0"/>
    <x v="4"/>
    <n v="8252900"/>
  </r>
  <r>
    <x v="0"/>
    <x v="1"/>
    <x v="4"/>
    <n v="5497360"/>
  </r>
  <r>
    <x v="1"/>
    <x v="1"/>
    <x v="4"/>
    <n v="5131710"/>
  </r>
  <r>
    <x v="2"/>
    <x v="1"/>
    <x v="4"/>
    <n v="4357940"/>
  </r>
  <r>
    <x v="0"/>
    <x v="2"/>
    <x v="4"/>
    <n v="3461355"/>
  </r>
  <r>
    <x v="1"/>
    <x v="2"/>
    <x v="4"/>
    <n v="3863560"/>
  </r>
  <r>
    <x v="2"/>
    <x v="2"/>
    <x v="4"/>
    <n v="4680620"/>
  </r>
  <r>
    <x v="0"/>
    <x v="3"/>
    <x v="4"/>
    <n v="3058185"/>
  </r>
  <r>
    <x v="1"/>
    <x v="3"/>
    <x v="4"/>
    <n v="3486755"/>
  </r>
  <r>
    <x v="2"/>
    <x v="3"/>
    <x v="4"/>
    <n v="4782695"/>
  </r>
  <r>
    <x v="0"/>
    <x v="0"/>
    <x v="5"/>
    <n v="9416330"/>
  </r>
  <r>
    <x v="1"/>
    <x v="0"/>
    <x v="5"/>
    <n v="9364870"/>
  </r>
  <r>
    <x v="2"/>
    <x v="0"/>
    <x v="5"/>
    <n v="10833550"/>
  </r>
  <r>
    <x v="0"/>
    <x v="1"/>
    <x v="5"/>
    <n v="7200320"/>
  </r>
  <r>
    <x v="1"/>
    <x v="1"/>
    <x v="5"/>
    <n v="6704770"/>
  </r>
  <r>
    <x v="2"/>
    <x v="1"/>
    <x v="5"/>
    <n v="5688700"/>
  </r>
  <r>
    <x v="0"/>
    <x v="2"/>
    <x v="5"/>
    <n v="4536080"/>
  </r>
  <r>
    <x v="1"/>
    <x v="2"/>
    <x v="5"/>
    <n v="5047230"/>
  </r>
  <r>
    <x v="2"/>
    <x v="2"/>
    <x v="5"/>
    <n v="6112710"/>
  </r>
  <r>
    <x v="0"/>
    <x v="3"/>
    <x v="5"/>
    <n v="4022670"/>
  </r>
  <r>
    <x v="1"/>
    <x v="3"/>
    <x v="5"/>
    <n v="4555770"/>
  </r>
  <r>
    <x v="2"/>
    <x v="3"/>
    <x v="5"/>
    <n v="628331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4">
  <r>
    <x v="0"/>
    <x v="0"/>
    <x v="0"/>
    <n v="1377750"/>
    <n v="1166495"/>
    <n v="211255"/>
    <x v="0"/>
    <n v="1837"/>
    <n v="-163"/>
    <n v="-8.1500000000000003E-2"/>
  </r>
  <r>
    <x v="0"/>
    <x v="0"/>
    <x v="1"/>
    <n v="2208700"/>
    <n v="1868900"/>
    <n v="339800"/>
    <x v="1"/>
    <n v="3398"/>
    <n v="398"/>
    <n v="0.13266666666666665"/>
  </r>
  <r>
    <x v="0"/>
    <x v="0"/>
    <x v="2"/>
    <n v="751400"/>
    <n v="583440"/>
    <n v="167960"/>
    <x v="2"/>
    <n v="884"/>
    <n v="84"/>
    <n v="0.105"/>
  </r>
  <r>
    <x v="0"/>
    <x v="0"/>
    <x v="3"/>
    <n v="994800"/>
    <n v="746100"/>
    <n v="248700"/>
    <x v="3"/>
    <n v="2487"/>
    <n v="87"/>
    <n v="3.6249999999999998E-2"/>
  </r>
  <r>
    <x v="0"/>
    <x v="0"/>
    <x v="4"/>
    <n v="1198400"/>
    <n v="838880"/>
    <n v="359520"/>
    <x v="4"/>
    <n v="1712"/>
    <n v="312"/>
    <n v="0.22285714285714286"/>
  </r>
  <r>
    <x v="0"/>
    <x v="0"/>
    <x v="5"/>
    <n v="1790400"/>
    <n v="1208520"/>
    <n v="581880"/>
    <x v="0"/>
    <n v="2238"/>
    <n v="238"/>
    <n v="0.11899999999999999"/>
  </r>
  <r>
    <x v="0"/>
    <x v="0"/>
    <x v="6"/>
    <n v="1094880"/>
    <n v="775540"/>
    <n v="319340"/>
    <x v="5"/>
    <n v="2281"/>
    <n v="381"/>
    <n v="0.20052631578947369"/>
  </r>
  <r>
    <x v="0"/>
    <x v="1"/>
    <x v="0"/>
    <n v="987000"/>
    <n v="835660"/>
    <n v="151340"/>
    <x v="6"/>
    <n v="1316"/>
    <n v="-484"/>
    <n v="-0.2688888888888889"/>
  </r>
  <r>
    <x v="0"/>
    <x v="1"/>
    <x v="1"/>
    <n v="1813500"/>
    <n v="1534500"/>
    <n v="279000"/>
    <x v="7"/>
    <n v="2790"/>
    <n v="190"/>
    <n v="7.3076923076923081E-2"/>
  </r>
  <r>
    <x v="0"/>
    <x v="1"/>
    <x v="2"/>
    <n v="460700"/>
    <n v="357720"/>
    <n v="102980"/>
    <x v="8"/>
    <n v="542"/>
    <n v="-158"/>
    <n v="-0.2257142857142857"/>
  </r>
  <r>
    <x v="0"/>
    <x v="1"/>
    <x v="3"/>
    <n v="787200"/>
    <n v="590400"/>
    <n v="196800"/>
    <x v="9"/>
    <n v="1968"/>
    <n v="-132"/>
    <n v="-6.2857142857142861E-2"/>
  </r>
  <r>
    <x v="0"/>
    <x v="1"/>
    <x v="4"/>
    <n v="954800"/>
    <n v="668360"/>
    <n v="286440"/>
    <x v="10"/>
    <n v="1364"/>
    <n v="164"/>
    <n v="0.13666666666666666"/>
  </r>
  <r>
    <x v="0"/>
    <x v="1"/>
    <x v="5"/>
    <n v="1367200"/>
    <n v="922860"/>
    <n v="444340"/>
    <x v="6"/>
    <n v="1709"/>
    <n v="-91"/>
    <n v="-5.0555555555555555E-2"/>
  </r>
  <r>
    <x v="0"/>
    <x v="1"/>
    <x v="6"/>
    <n v="829920"/>
    <n v="587860"/>
    <n v="242060"/>
    <x v="11"/>
    <n v="1729"/>
    <n v="29"/>
    <n v="1.7058823529411765E-2"/>
  </r>
  <r>
    <x v="0"/>
    <x v="2"/>
    <x v="0"/>
    <n v="653250"/>
    <n v="553085"/>
    <n v="100165"/>
    <x v="12"/>
    <n v="871"/>
    <n v="-229"/>
    <n v="-0.20818181818181819"/>
  </r>
  <r>
    <x v="0"/>
    <x v="2"/>
    <x v="1"/>
    <n v="1021150"/>
    <n v="864050"/>
    <n v="157100"/>
    <x v="13"/>
    <n v="1571"/>
    <n v="-29"/>
    <n v="-1.8124999999999999E-2"/>
  </r>
  <r>
    <x v="0"/>
    <x v="2"/>
    <x v="2"/>
    <n v="438600"/>
    <n v="340560"/>
    <n v="98040"/>
    <x v="14"/>
    <n v="516"/>
    <n v="16"/>
    <n v="3.2000000000000001E-2"/>
  </r>
  <r>
    <x v="0"/>
    <x v="2"/>
    <x v="3"/>
    <n v="502000"/>
    <n v="376500"/>
    <n v="125500"/>
    <x v="15"/>
    <n v="1255"/>
    <n v="-45"/>
    <n v="-3.4615384615384617E-2"/>
  </r>
  <r>
    <x v="0"/>
    <x v="2"/>
    <x v="4"/>
    <n v="499800"/>
    <n v="349860"/>
    <n v="149940"/>
    <x v="2"/>
    <n v="714"/>
    <n v="-86"/>
    <n v="-0.1075"/>
  </r>
  <r>
    <x v="0"/>
    <x v="2"/>
    <x v="5"/>
    <n v="883200"/>
    <n v="596160"/>
    <n v="287040"/>
    <x v="12"/>
    <n v="1104"/>
    <n v="4"/>
    <n v="3.6363636363636364E-3"/>
  </r>
  <r>
    <x v="0"/>
    <x v="2"/>
    <x v="6"/>
    <n v="538080"/>
    <n v="381140"/>
    <n v="156940"/>
    <x v="16"/>
    <n v="1121"/>
    <n v="121"/>
    <n v="0.121"/>
  </r>
  <r>
    <x v="0"/>
    <x v="3"/>
    <x v="0"/>
    <n v="512250"/>
    <n v="433705"/>
    <n v="78545"/>
    <x v="2"/>
    <n v="683"/>
    <n v="-117"/>
    <n v="-0.14624999999999999"/>
  </r>
  <r>
    <x v="0"/>
    <x v="3"/>
    <x v="1"/>
    <n v="809900"/>
    <n v="685300"/>
    <n v="124600"/>
    <x v="12"/>
    <n v="1246"/>
    <n v="146"/>
    <n v="0.13272727272727272"/>
  </r>
  <r>
    <x v="0"/>
    <x v="3"/>
    <x v="2"/>
    <n v="544000"/>
    <n v="422400"/>
    <n v="121600"/>
    <x v="17"/>
    <n v="640"/>
    <n v="340"/>
    <n v="1.1333333333333333"/>
  </r>
  <r>
    <x v="0"/>
    <x v="3"/>
    <x v="3"/>
    <n v="460000"/>
    <n v="345000"/>
    <n v="115000"/>
    <x v="18"/>
    <n v="1150"/>
    <n v="250"/>
    <n v="0.27777777777777779"/>
  </r>
  <r>
    <x v="0"/>
    <x v="3"/>
    <x v="4"/>
    <n v="480200"/>
    <n v="336140"/>
    <n v="144060"/>
    <x v="14"/>
    <n v="686"/>
    <n v="186"/>
    <n v="0.372"/>
  </r>
  <r>
    <x v="0"/>
    <x v="3"/>
    <x v="5"/>
    <n v="777600"/>
    <n v="524880"/>
    <n v="252720"/>
    <x v="2"/>
    <n v="972"/>
    <n v="172"/>
    <n v="0.215"/>
  </r>
  <r>
    <x v="0"/>
    <x v="3"/>
    <x v="6"/>
    <n v="438720"/>
    <n v="310760"/>
    <n v="127960"/>
    <x v="8"/>
    <n v="914"/>
    <n v="214"/>
    <n v="0.30571428571428572"/>
  </r>
  <r>
    <x v="1"/>
    <x v="0"/>
    <x v="0"/>
    <n v="1446000"/>
    <n v="1224280"/>
    <n v="221720"/>
    <x v="0"/>
    <n v="1928"/>
    <n v="-72"/>
    <n v="-3.5999999999999997E-2"/>
  </r>
  <r>
    <x v="1"/>
    <x v="0"/>
    <x v="1"/>
    <n v="2007200"/>
    <n v="1698400"/>
    <n v="308800"/>
    <x v="1"/>
    <n v="3088"/>
    <n v="88"/>
    <n v="2.9333333333333333E-2"/>
  </r>
  <r>
    <x v="1"/>
    <x v="0"/>
    <x v="2"/>
    <n v="653650"/>
    <n v="507540"/>
    <n v="146110"/>
    <x v="2"/>
    <n v="769"/>
    <n v="-31"/>
    <n v="-3.875E-2"/>
  </r>
  <r>
    <x v="1"/>
    <x v="0"/>
    <x v="3"/>
    <n v="1096000"/>
    <n v="822000"/>
    <n v="274000"/>
    <x v="3"/>
    <n v="2740"/>
    <n v="340"/>
    <n v="0.14166666666666666"/>
  </r>
  <r>
    <x v="1"/>
    <x v="0"/>
    <x v="4"/>
    <n v="1158500"/>
    <n v="810950"/>
    <n v="347550"/>
    <x v="4"/>
    <n v="1655"/>
    <n v="255"/>
    <n v="0.18214285714285713"/>
  </r>
  <r>
    <x v="1"/>
    <x v="0"/>
    <x v="5"/>
    <n v="1904800"/>
    <n v="1285740"/>
    <n v="619060"/>
    <x v="0"/>
    <n v="2381"/>
    <n v="381"/>
    <n v="0.1905"/>
  </r>
  <r>
    <x v="1"/>
    <x v="0"/>
    <x v="6"/>
    <n v="1098720"/>
    <n v="778260"/>
    <n v="320460"/>
    <x v="5"/>
    <n v="2289"/>
    <n v="389"/>
    <n v="0.20473684210526316"/>
  </r>
  <r>
    <x v="1"/>
    <x v="1"/>
    <x v="0"/>
    <n v="1134000"/>
    <n v="960120"/>
    <n v="173880"/>
    <x v="13"/>
    <n v="1512"/>
    <n v="-88"/>
    <n v="-5.5E-2"/>
  </r>
  <r>
    <x v="1"/>
    <x v="1"/>
    <x v="1"/>
    <n v="1469000"/>
    <n v="1243000"/>
    <n v="226000"/>
    <x v="19"/>
    <n v="2260"/>
    <n v="-40"/>
    <n v="-1.7391304347826087E-2"/>
  </r>
  <r>
    <x v="1"/>
    <x v="1"/>
    <x v="2"/>
    <n v="577150"/>
    <n v="448140"/>
    <n v="129010"/>
    <x v="8"/>
    <n v="679"/>
    <n v="-21"/>
    <n v="-0.03"/>
  </r>
  <r>
    <x v="1"/>
    <x v="1"/>
    <x v="3"/>
    <n v="770800"/>
    <n v="578100"/>
    <n v="192700"/>
    <x v="5"/>
    <n v="1927"/>
    <n v="27"/>
    <n v="1.4210526315789474E-2"/>
  </r>
  <r>
    <x v="1"/>
    <x v="1"/>
    <x v="4"/>
    <n v="739900"/>
    <n v="517930"/>
    <n v="221970"/>
    <x v="12"/>
    <n v="1057"/>
    <n v="-43"/>
    <n v="-3.9090909090909093E-2"/>
  </r>
  <r>
    <x v="1"/>
    <x v="1"/>
    <x v="5"/>
    <n v="1263200"/>
    <n v="852660"/>
    <n v="410540"/>
    <x v="13"/>
    <n v="1579"/>
    <n v="-21"/>
    <n v="-1.3125E-2"/>
  </r>
  <r>
    <x v="1"/>
    <x v="1"/>
    <x v="6"/>
    <n v="750720"/>
    <n v="531760"/>
    <n v="218960"/>
    <x v="20"/>
    <n v="1564"/>
    <n v="64"/>
    <n v="4.2666666666666665E-2"/>
  </r>
  <r>
    <x v="1"/>
    <x v="2"/>
    <x v="0"/>
    <n v="837000"/>
    <n v="708660"/>
    <n v="128340"/>
    <x v="12"/>
    <n v="1116"/>
    <n v="16"/>
    <n v="1.4545454545454545E-2"/>
  </r>
  <r>
    <x v="1"/>
    <x v="2"/>
    <x v="1"/>
    <n v="1111500"/>
    <n v="940500"/>
    <n v="171000"/>
    <x v="13"/>
    <n v="1710"/>
    <n v="110"/>
    <n v="6.8750000000000006E-2"/>
  </r>
  <r>
    <x v="1"/>
    <x v="2"/>
    <x v="2"/>
    <n v="500650"/>
    <n v="388740"/>
    <n v="111910"/>
    <x v="14"/>
    <n v="589"/>
    <n v="89"/>
    <n v="0.17799999999999999"/>
  </r>
  <r>
    <x v="1"/>
    <x v="2"/>
    <x v="3"/>
    <n v="524000"/>
    <n v="393000"/>
    <n v="131000"/>
    <x v="15"/>
    <n v="1310"/>
    <n v="10"/>
    <n v="7.6923076923076927E-3"/>
  </r>
  <r>
    <x v="1"/>
    <x v="2"/>
    <x v="4"/>
    <n v="537600"/>
    <n v="376320"/>
    <n v="161280"/>
    <x v="2"/>
    <n v="768"/>
    <n v="-32"/>
    <n v="-0.04"/>
  </r>
  <r>
    <x v="1"/>
    <x v="2"/>
    <x v="5"/>
    <n v="960000"/>
    <n v="648000"/>
    <n v="312000"/>
    <x v="12"/>
    <n v="1200"/>
    <n v="100"/>
    <n v="9.0909090909090912E-2"/>
  </r>
  <r>
    <x v="1"/>
    <x v="2"/>
    <x v="6"/>
    <n v="576480"/>
    <n v="408340"/>
    <n v="168140"/>
    <x v="12"/>
    <n v="1201"/>
    <n v="101"/>
    <n v="9.1818181818181813E-2"/>
  </r>
  <r>
    <x v="1"/>
    <x v="3"/>
    <x v="0"/>
    <n v="804750"/>
    <n v="708660"/>
    <n v="96090"/>
    <x v="18"/>
    <n v="1073"/>
    <n v="173"/>
    <n v="0.19222222222222221"/>
  </r>
  <r>
    <x v="1"/>
    <x v="3"/>
    <x v="1"/>
    <n v="945750"/>
    <n v="940500"/>
    <n v="5250"/>
    <x v="15"/>
    <n v="1455"/>
    <n v="155"/>
    <n v="0.11923076923076924"/>
  </r>
  <r>
    <x v="1"/>
    <x v="3"/>
    <x v="2"/>
    <n v="510850"/>
    <n v="388740"/>
    <n v="122110"/>
    <x v="21"/>
    <n v="601"/>
    <n v="201"/>
    <n v="0.50249999999999995"/>
  </r>
  <r>
    <x v="1"/>
    <x v="3"/>
    <x v="3"/>
    <n v="426400"/>
    <n v="393000"/>
    <n v="33400"/>
    <x v="16"/>
    <n v="1066"/>
    <n v="66"/>
    <n v="6.6000000000000003E-2"/>
  </r>
  <r>
    <x v="1"/>
    <x v="3"/>
    <x v="4"/>
    <n v="545300"/>
    <n v="376320"/>
    <n v="168980"/>
    <x v="22"/>
    <n v="779"/>
    <n v="179"/>
    <n v="0.29833333333333334"/>
  </r>
  <r>
    <x v="1"/>
    <x v="3"/>
    <x v="5"/>
    <n v="898400"/>
    <n v="648000"/>
    <n v="250400"/>
    <x v="18"/>
    <n v="1123"/>
    <n v="223"/>
    <n v="0.24777777777777779"/>
  </r>
  <r>
    <x v="1"/>
    <x v="3"/>
    <x v="6"/>
    <n v="424320"/>
    <n v="408340"/>
    <n v="15980"/>
    <x v="2"/>
    <n v="884"/>
    <n v="84"/>
    <n v="0.105"/>
  </r>
  <r>
    <x v="2"/>
    <x v="0"/>
    <x v="0"/>
    <n v="1797000"/>
    <n v="1521460"/>
    <n v="275540"/>
    <x v="23"/>
    <n v="2396"/>
    <n v="256"/>
    <n v="0.11962616822429907"/>
  </r>
  <r>
    <x v="2"/>
    <x v="0"/>
    <x v="1"/>
    <n v="2352350"/>
    <n v="1990450"/>
    <n v="361900"/>
    <x v="24"/>
    <n v="3619"/>
    <n v="409"/>
    <n v="0.12741433021806853"/>
  </r>
  <r>
    <x v="2"/>
    <x v="0"/>
    <x v="2"/>
    <n v="746300"/>
    <n v="579480"/>
    <n v="166820"/>
    <x v="25"/>
    <n v="878"/>
    <n v="22"/>
    <n v="2.5700934579439252E-2"/>
  </r>
  <r>
    <x v="2"/>
    <x v="0"/>
    <x v="3"/>
    <n v="1062400"/>
    <n v="796800"/>
    <n v="265600"/>
    <x v="26"/>
    <n v="2656"/>
    <n v="88"/>
    <n v="3.4267912772585667E-2"/>
  </r>
  <r>
    <x v="2"/>
    <x v="0"/>
    <x v="4"/>
    <n v="1285900"/>
    <n v="900130"/>
    <n v="385770"/>
    <x v="27"/>
    <n v="1837"/>
    <n v="339"/>
    <n v="0.22630173564753003"/>
  </r>
  <r>
    <x v="2"/>
    <x v="0"/>
    <x v="5"/>
    <n v="2341600"/>
    <n v="1580580"/>
    <n v="761020"/>
    <x v="23"/>
    <n v="2927"/>
    <n v="787"/>
    <n v="0.36775700934579442"/>
  </r>
  <r>
    <x v="2"/>
    <x v="0"/>
    <x v="6"/>
    <n v="1248000"/>
    <n v="884000"/>
    <n v="364000"/>
    <x v="28"/>
    <n v="2600"/>
    <n v="567"/>
    <n v="0.27889818002951305"/>
  </r>
  <r>
    <x v="2"/>
    <x v="1"/>
    <x v="0"/>
    <n v="966000"/>
    <n v="817880"/>
    <n v="148120"/>
    <x v="4"/>
    <n v="1288"/>
    <n v="-112"/>
    <n v="-0.08"/>
  </r>
  <r>
    <x v="2"/>
    <x v="1"/>
    <x v="1"/>
    <n v="1355900"/>
    <n v="1147300"/>
    <n v="208600"/>
    <x v="9"/>
    <n v="2086"/>
    <n v="-14"/>
    <n v="-6.6666666666666671E-3"/>
  </r>
  <r>
    <x v="2"/>
    <x v="1"/>
    <x v="2"/>
    <n v="360400"/>
    <n v="279840"/>
    <n v="80560"/>
    <x v="22"/>
    <n v="424"/>
    <n v="-176"/>
    <n v="-0.29333333333333333"/>
  </r>
  <r>
    <x v="2"/>
    <x v="1"/>
    <x v="3"/>
    <n v="656800"/>
    <n v="492600"/>
    <n v="164200"/>
    <x v="11"/>
    <n v="1642"/>
    <n v="-58"/>
    <n v="-3.411764705882353E-2"/>
  </r>
  <r>
    <x v="2"/>
    <x v="1"/>
    <x v="4"/>
    <n v="599200"/>
    <n v="419440"/>
    <n v="179760"/>
    <x v="16"/>
    <n v="856"/>
    <n v="-144"/>
    <n v="-0.14399999999999999"/>
  </r>
  <r>
    <x v="2"/>
    <x v="1"/>
    <x v="5"/>
    <n v="1169600"/>
    <n v="789480"/>
    <n v="380120"/>
    <x v="4"/>
    <n v="1462"/>
    <n v="62"/>
    <n v="4.4285714285714282E-2"/>
  </r>
  <r>
    <x v="2"/>
    <x v="1"/>
    <x v="6"/>
    <n v="580800"/>
    <n v="411400"/>
    <n v="169400"/>
    <x v="4"/>
    <n v="1210"/>
    <n v="-190"/>
    <n v="-0.1357142857142857"/>
  </r>
  <r>
    <x v="2"/>
    <x v="2"/>
    <x v="0"/>
    <n v="1152000"/>
    <n v="975360"/>
    <n v="176640"/>
    <x v="15"/>
    <n v="1536"/>
    <n v="236"/>
    <n v="0.18153846153846154"/>
  </r>
  <r>
    <x v="2"/>
    <x v="2"/>
    <x v="1"/>
    <n v="1318200"/>
    <n v="1115400"/>
    <n v="202800"/>
    <x v="5"/>
    <n v="2028"/>
    <n v="128"/>
    <n v="6.7368421052631577E-2"/>
  </r>
  <r>
    <x v="2"/>
    <x v="2"/>
    <x v="2"/>
    <n v="396950"/>
    <n v="308220"/>
    <n v="88730"/>
    <x v="14"/>
    <n v="467"/>
    <n v="-33"/>
    <n v="-6.6000000000000003E-2"/>
  </r>
  <r>
    <x v="2"/>
    <x v="2"/>
    <x v="3"/>
    <n v="691600"/>
    <n v="518700"/>
    <n v="172900"/>
    <x v="20"/>
    <n v="1729"/>
    <n v="229"/>
    <n v="0.15266666666666667"/>
  </r>
  <r>
    <x v="2"/>
    <x v="2"/>
    <x v="4"/>
    <n v="698600"/>
    <n v="489020"/>
    <n v="209580"/>
    <x v="18"/>
    <n v="998"/>
    <n v="98"/>
    <n v="0.10888888888888888"/>
  </r>
  <r>
    <x v="2"/>
    <x v="2"/>
    <x v="5"/>
    <n v="1208800"/>
    <n v="815940"/>
    <n v="392860"/>
    <x v="15"/>
    <n v="1511"/>
    <n v="211"/>
    <n v="0.16230769230769232"/>
  </r>
  <r>
    <x v="2"/>
    <x v="2"/>
    <x v="6"/>
    <n v="646560"/>
    <n v="457980"/>
    <n v="188580"/>
    <x v="10"/>
    <n v="1347"/>
    <n v="147"/>
    <n v="0.1225"/>
  </r>
  <r>
    <x v="2"/>
    <x v="3"/>
    <x v="0"/>
    <n v="936750"/>
    <n v="793115"/>
    <n v="143635"/>
    <x v="12"/>
    <n v="1249"/>
    <n v="149"/>
    <n v="0.13545454545454547"/>
  </r>
  <r>
    <x v="2"/>
    <x v="3"/>
    <x v="1"/>
    <n v="1383850"/>
    <n v="1170950"/>
    <n v="212900"/>
    <x v="11"/>
    <n v="2129"/>
    <n v="429"/>
    <n v="0.25235294117647061"/>
  </r>
  <r>
    <x v="2"/>
    <x v="3"/>
    <x v="2"/>
    <n v="565250"/>
    <n v="438900"/>
    <n v="126350"/>
    <x v="14"/>
    <n v="665"/>
    <n v="165"/>
    <n v="0.33"/>
  </r>
  <r>
    <x v="2"/>
    <x v="3"/>
    <x v="3"/>
    <n v="544000"/>
    <n v="408000"/>
    <n v="136000"/>
    <x v="15"/>
    <n v="1360"/>
    <n v="60"/>
    <n v="4.6153846153846156E-2"/>
  </r>
  <r>
    <x v="2"/>
    <x v="3"/>
    <x v="4"/>
    <n v="886900"/>
    <n v="620830"/>
    <n v="266070"/>
    <x v="2"/>
    <n v="1267"/>
    <n v="467"/>
    <n v="0.58374999999999999"/>
  </r>
  <r>
    <x v="2"/>
    <x v="3"/>
    <x v="5"/>
    <n v="1262400"/>
    <n v="852120"/>
    <n v="410280"/>
    <x v="12"/>
    <n v="1578"/>
    <n v="478"/>
    <n v="0.43454545454545457"/>
  </r>
  <r>
    <x v="2"/>
    <x v="3"/>
    <x v="6"/>
    <n v="704160"/>
    <n v="498780"/>
    <n v="205380"/>
    <x v="12"/>
    <n v="1467"/>
    <n v="367"/>
    <n v="0.3336363636363636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EC3B59D-6131-4C66-8837-AF6C380C8A39}" name="PivotTable4" cacheId="2"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B62:G70" firstHeaderRow="1" firstDataRow="2" firstDataCol="1" rowPageCount="1" colPageCount="1"/>
  <pivotFields count="4">
    <pivotField axis="axisPage" multipleItemSelectionAllowed="1" showAll="0">
      <items count="4">
        <item x="0"/>
        <item h="1" x="1"/>
        <item h="1" x="2"/>
        <item t="default"/>
      </items>
    </pivotField>
    <pivotField axis="axisCol" multipleItemSelectionAllowed="1" showAll="0">
      <items count="5">
        <item x="0"/>
        <item x="3"/>
        <item x="1"/>
        <item x="2"/>
        <item t="default"/>
      </items>
    </pivotField>
    <pivotField axis="axisRow" showAll="0">
      <items count="7">
        <item x="3"/>
        <item x="4"/>
        <item x="1"/>
        <item x="0"/>
        <item x="5"/>
        <item x="2"/>
        <item t="default"/>
      </items>
    </pivotField>
    <pivotField dataField="1" showAll="0"/>
  </pivotFields>
  <rowFields count="1">
    <field x="2"/>
  </rowFields>
  <rowItems count="7">
    <i>
      <x/>
    </i>
    <i>
      <x v="1"/>
    </i>
    <i>
      <x v="2"/>
    </i>
    <i>
      <x v="3"/>
    </i>
    <i>
      <x v="4"/>
    </i>
    <i>
      <x v="5"/>
    </i>
    <i t="grand">
      <x/>
    </i>
  </rowItems>
  <colFields count="1">
    <field x="1"/>
  </colFields>
  <colItems count="5">
    <i>
      <x/>
    </i>
    <i>
      <x v="1"/>
    </i>
    <i>
      <x v="2"/>
    </i>
    <i>
      <x v="3"/>
    </i>
    <i t="grand">
      <x/>
    </i>
  </colItems>
  <pageFields count="1">
    <pageField fld="0" hier="-1"/>
  </pageFields>
  <dataFields count="1">
    <dataField name="Sum of AMOUN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B667C0B-BB11-4F73-A961-EA60C4F74A8F}" name="PivotTable1" cacheId="2"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1">
  <location ref="B16:F24" firstHeaderRow="1" firstDataRow="2" firstDataCol="1" rowPageCount="1" colPageCount="1"/>
  <pivotFields count="4">
    <pivotField axis="axisCol" showAll="0">
      <items count="4">
        <item x="0"/>
        <item x="1"/>
        <item x="2"/>
        <item t="default"/>
      </items>
    </pivotField>
    <pivotField axis="axisPage" multipleItemSelectionAllowed="1" showAll="0">
      <items count="5">
        <item x="0"/>
        <item h="1" x="3"/>
        <item h="1" x="1"/>
        <item h="1" x="2"/>
        <item t="default"/>
      </items>
    </pivotField>
    <pivotField axis="axisRow" showAll="0">
      <items count="7">
        <item x="3"/>
        <item x="4"/>
        <item x="1"/>
        <item x="0"/>
        <item x="5"/>
        <item x="2"/>
        <item t="default"/>
      </items>
    </pivotField>
    <pivotField dataField="1" showAll="0"/>
  </pivotFields>
  <rowFields count="1">
    <field x="2"/>
  </rowFields>
  <rowItems count="7">
    <i>
      <x/>
    </i>
    <i>
      <x v="1"/>
    </i>
    <i>
      <x v="2"/>
    </i>
    <i>
      <x v="3"/>
    </i>
    <i>
      <x v="4"/>
    </i>
    <i>
      <x v="5"/>
    </i>
    <i t="grand">
      <x/>
    </i>
  </rowItems>
  <colFields count="1">
    <field x="0"/>
  </colFields>
  <colItems count="4">
    <i>
      <x/>
    </i>
    <i>
      <x v="1"/>
    </i>
    <i>
      <x v="2"/>
    </i>
    <i t="grand">
      <x/>
    </i>
  </colItems>
  <pageFields count="1">
    <pageField fld="1" hier="-1"/>
  </pageFields>
  <dataFields count="1">
    <dataField name="Sum of AMOUN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6FFB0EC-6D42-4BE2-BEAD-B520D56C2916}" name="PivotTable5"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8:G16" firstHeaderRow="1" firstDataRow="2" firstDataCol="1" rowPageCount="1" colPageCount="1"/>
  <pivotFields count="4">
    <pivotField axis="axisPage" showAll="0">
      <items count="4">
        <item x="0"/>
        <item x="1"/>
        <item x="2"/>
        <item t="default"/>
      </items>
    </pivotField>
    <pivotField axis="axisCol" multipleItemSelectionAllowed="1" showAll="0">
      <items count="5">
        <item x="0"/>
        <item x="3"/>
        <item x="1"/>
        <item x="2"/>
        <item t="default"/>
      </items>
    </pivotField>
    <pivotField axis="axisRow" showAll="0">
      <items count="7">
        <item x="3"/>
        <item x="4"/>
        <item x="1"/>
        <item x="0"/>
        <item x="5"/>
        <item x="2"/>
        <item t="default"/>
      </items>
    </pivotField>
    <pivotField dataField="1" showAll="0"/>
  </pivotFields>
  <rowFields count="1">
    <field x="2"/>
  </rowFields>
  <rowItems count="7">
    <i>
      <x/>
    </i>
    <i>
      <x v="1"/>
    </i>
    <i>
      <x v="2"/>
    </i>
    <i>
      <x v="3"/>
    </i>
    <i>
      <x v="4"/>
    </i>
    <i>
      <x v="5"/>
    </i>
    <i t="grand">
      <x/>
    </i>
  </rowItems>
  <colFields count="1">
    <field x="1"/>
  </colFields>
  <colItems count="5">
    <i>
      <x/>
    </i>
    <i>
      <x v="1"/>
    </i>
    <i>
      <x v="2"/>
    </i>
    <i>
      <x v="3"/>
    </i>
    <i t="grand">
      <x/>
    </i>
  </colItems>
  <pageFields count="1">
    <pageField fld="0" hier="-1"/>
  </pageFields>
  <dataFields count="1">
    <dataField name="Sum of AMOUN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7BC7A29-DC81-4196-A74A-EAD7CC62548D}" name="PivotTable13" cacheId="3"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7">
  <location ref="A8:C9" firstHeaderRow="0" firstDataRow="1" firstDataCol="0"/>
  <pivotFields count="11">
    <pivotField showAll="0">
      <items count="4">
        <item h="1" x="0"/>
        <item h="1" x="1"/>
        <item x="2"/>
        <item t="default"/>
      </items>
    </pivotField>
    <pivotField showAll="0">
      <items count="5">
        <item h="1" x="0"/>
        <item h="1" x="3"/>
        <item h="1" x="1"/>
        <item x="2"/>
        <item t="default"/>
      </items>
    </pivotField>
    <pivotField showAll="0">
      <items count="8">
        <item h="1" x="2"/>
        <item h="1" x="1"/>
        <item h="1" x="6"/>
        <item h="1" x="3"/>
        <item h="1" x="5"/>
        <item h="1" x="4"/>
        <item x="0"/>
        <item t="default"/>
      </items>
    </pivotField>
    <pivotField showAll="0"/>
    <pivotField showAll="0"/>
    <pivotField showAll="0"/>
    <pivotField dataField="1" showAll="0"/>
    <pivotField dataField="1" showAll="0"/>
    <pivotField showAll="0"/>
    <pivotField numFmtId="170" showAll="0"/>
    <pivotField dataField="1" dragToRow="0" dragToCol="0" dragToPage="0" showAll="0" defaultSubtotal="0"/>
  </pivotFields>
  <rowItems count="1">
    <i/>
  </rowItems>
  <colFields count="1">
    <field x="-2"/>
  </colFields>
  <colItems count="3">
    <i>
      <x/>
    </i>
    <i i="1">
      <x v="1"/>
    </i>
    <i i="2">
      <x v="2"/>
    </i>
  </colItems>
  <dataFields count="3">
    <dataField name="Sum of SALES TARGET" fld="6" baseField="0" baseItem="0"/>
    <dataField name="Sum of ACTUAL SALES" fld="7" baseField="0" baseItem="0"/>
    <dataField name="Sum of Over Target" fld="10" baseField="0" baseItem="0"/>
  </dataFields>
  <chartFormats count="5">
    <chartFormat chart="6" format="25" series="1">
      <pivotArea type="data" outline="0" fieldPosition="0">
        <references count="1">
          <reference field="4294967294" count="1" selected="0">
            <x v="1"/>
          </reference>
        </references>
      </pivotArea>
    </chartFormat>
    <chartFormat chart="6" format="26" series="1">
      <pivotArea type="data" outline="0" fieldPosition="0">
        <references count="1">
          <reference field="4294967294" count="1" selected="0">
            <x v="2"/>
          </reference>
        </references>
      </pivotArea>
    </chartFormat>
    <chartFormat chart="6" format="27" series="1">
      <pivotArea type="data" outline="0" fieldPosition="0">
        <references count="1">
          <reference field="4294967294" count="1" selected="0">
            <x v="0"/>
          </reference>
        </references>
      </pivotArea>
    </chartFormat>
    <chartFormat chart="6" format="28">
      <pivotArea type="data" outline="0" fieldPosition="0">
        <references count="1">
          <reference field="4294967294" count="1" selected="0">
            <x v="0"/>
          </reference>
        </references>
      </pivotArea>
    </chartFormat>
    <chartFormat chart="6" format="29">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B51797-97F8-4FA5-959C-DCE65DC90751}" name="PivotTable1" cacheId="3"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10">
  <location ref="A1:B5" firstHeaderRow="1" firstDataRow="1" firstDataCol="1"/>
  <pivotFields count="11">
    <pivotField axis="axisRow" showAll="0">
      <items count="4">
        <item x="0"/>
        <item x="1"/>
        <item x="2"/>
        <item t="default"/>
      </items>
    </pivotField>
    <pivotField showAll="0">
      <items count="5">
        <item h="1" x="0"/>
        <item x="3"/>
        <item h="1" x="1"/>
        <item h="1" x="2"/>
        <item t="default"/>
      </items>
    </pivotField>
    <pivotField showAll="0">
      <items count="8">
        <item h="1" x="2"/>
        <item h="1" x="1"/>
        <item h="1" x="6"/>
        <item h="1" x="3"/>
        <item h="1" x="5"/>
        <item h="1" x="4"/>
        <item x="0"/>
        <item t="default"/>
      </items>
    </pivotField>
    <pivotField showAll="0"/>
    <pivotField showAll="0"/>
    <pivotField dataField="1" showAll="0"/>
    <pivotField showAll="0">
      <items count="30">
        <item x="17"/>
        <item x="21"/>
        <item x="14"/>
        <item x="22"/>
        <item x="8"/>
        <item x="2"/>
        <item x="25"/>
        <item x="18"/>
        <item x="16"/>
        <item x="12"/>
        <item x="10"/>
        <item x="15"/>
        <item x="4"/>
        <item x="27"/>
        <item x="20"/>
        <item x="13"/>
        <item x="11"/>
        <item x="6"/>
        <item x="5"/>
        <item x="0"/>
        <item x="28"/>
        <item x="9"/>
        <item x="23"/>
        <item x="19"/>
        <item x="3"/>
        <item x="26"/>
        <item x="7"/>
        <item x="1"/>
        <item x="24"/>
        <item t="default"/>
      </items>
    </pivotField>
    <pivotField showAll="0"/>
    <pivotField showAll="0"/>
    <pivotField numFmtId="170" showAll="0"/>
    <pivotField dragToRow="0" dragToCol="0" dragToPage="0" showAll="0" defaultSubtotal="0"/>
  </pivotFields>
  <rowFields count="1">
    <field x="0"/>
  </rowFields>
  <rowItems count="4">
    <i>
      <x/>
    </i>
    <i>
      <x v="1"/>
    </i>
    <i>
      <x v="2"/>
    </i>
    <i t="grand">
      <x/>
    </i>
  </rowItems>
  <colItems count="1">
    <i/>
  </colItems>
  <dataFields count="1">
    <dataField name="Sum of PRODUCT PROFITABILITY" fld="5" baseField="0" baseItem="0"/>
  </dataFields>
  <chartFormats count="3">
    <chartFormat chart="9" format="7" series="1">
      <pivotArea type="data" outline="0" fieldPosition="0">
        <references count="1">
          <reference field="4294967294" count="1" selected="0">
            <x v="0"/>
          </reference>
        </references>
      </pivotArea>
    </chartFormat>
    <chartFormat chart="9" format="8">
      <pivotArea type="data" outline="0" fieldPosition="0">
        <references count="2">
          <reference field="4294967294" count="1" selected="0">
            <x v="0"/>
          </reference>
          <reference field="0" count="1" selected="0">
            <x v="0"/>
          </reference>
        </references>
      </pivotArea>
    </chartFormat>
    <chartFormat chart="9" format="9">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87B22F9-747C-4593-9EF4-3805E7329870}" name="PivotTable14" cacheId="3"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17">
  <location ref="A11:I13" firstHeaderRow="1" firstDataRow="2" firstDataCol="1"/>
  <pivotFields count="11">
    <pivotField showAll="0">
      <items count="4">
        <item h="1" x="0"/>
        <item h="1" x="1"/>
        <item x="2"/>
        <item t="default"/>
      </items>
    </pivotField>
    <pivotField showAll="0">
      <items count="5">
        <item h="1" x="0"/>
        <item h="1" x="3"/>
        <item h="1" x="1"/>
        <item x="2"/>
        <item t="default"/>
      </items>
    </pivotField>
    <pivotField axis="axisCol" showAll="0">
      <items count="8">
        <item x="2"/>
        <item x="1"/>
        <item x="6"/>
        <item x="3"/>
        <item x="5"/>
        <item x="4"/>
        <item x="0"/>
        <item t="default"/>
      </items>
    </pivotField>
    <pivotField showAll="0"/>
    <pivotField showAll="0"/>
    <pivotField dataField="1" showAll="0"/>
    <pivotField showAll="0"/>
    <pivotField showAll="0"/>
    <pivotField showAll="0"/>
    <pivotField numFmtId="170" showAll="0"/>
    <pivotField dragToRow="0" dragToCol="0" dragToPage="0" showAll="0" defaultSubtotal="0"/>
  </pivotFields>
  <rowItems count="1">
    <i/>
  </rowItems>
  <colFields count="1">
    <field x="2"/>
  </colFields>
  <colItems count="8">
    <i>
      <x/>
    </i>
    <i>
      <x v="1"/>
    </i>
    <i>
      <x v="2"/>
    </i>
    <i>
      <x v="3"/>
    </i>
    <i>
      <x v="4"/>
    </i>
    <i>
      <x v="5"/>
    </i>
    <i>
      <x v="6"/>
    </i>
    <i t="grand">
      <x/>
    </i>
  </colItems>
  <dataFields count="1">
    <dataField name="Sum of PRODUCT PROFITABILITY" fld="5" baseField="0" baseItem="0"/>
  </dataFields>
  <formats count="1">
    <format dxfId="0">
      <pivotArea outline="0" collapsedLevelsAreSubtotals="1" fieldPosition="0"/>
    </format>
  </formats>
  <chartFormats count="7">
    <chartFormat chart="5" format="21" series="1">
      <pivotArea type="data" outline="0" fieldPosition="0">
        <references count="2">
          <reference field="4294967294" count="1" selected="0">
            <x v="0"/>
          </reference>
          <reference field="2" count="1" selected="0">
            <x v="3"/>
          </reference>
        </references>
      </pivotArea>
    </chartFormat>
    <chartFormat chart="5" format="22" series="1">
      <pivotArea type="data" outline="0" fieldPosition="0">
        <references count="2">
          <reference field="4294967294" count="1" selected="0">
            <x v="0"/>
          </reference>
          <reference field="2" count="1" selected="0">
            <x v="4"/>
          </reference>
        </references>
      </pivotArea>
    </chartFormat>
    <chartFormat chart="5" format="23" series="1">
      <pivotArea type="data" outline="0" fieldPosition="0">
        <references count="2">
          <reference field="4294967294" count="1" selected="0">
            <x v="0"/>
          </reference>
          <reference field="2" count="1" selected="0">
            <x v="5"/>
          </reference>
        </references>
      </pivotArea>
    </chartFormat>
    <chartFormat chart="5" format="24" series="1">
      <pivotArea type="data" outline="0" fieldPosition="0">
        <references count="2">
          <reference field="4294967294" count="1" selected="0">
            <x v="0"/>
          </reference>
          <reference field="2" count="1" selected="0">
            <x v="6"/>
          </reference>
        </references>
      </pivotArea>
    </chartFormat>
    <chartFormat chart="5" format="25" series="1">
      <pivotArea type="data" outline="0" fieldPosition="0">
        <references count="2">
          <reference field="4294967294" count="1" selected="0">
            <x v="0"/>
          </reference>
          <reference field="2" count="1" selected="0">
            <x v="0"/>
          </reference>
        </references>
      </pivotArea>
    </chartFormat>
    <chartFormat chart="5" format="26" series="1">
      <pivotArea type="data" outline="0" fieldPosition="0">
        <references count="2">
          <reference field="4294967294" count="1" selected="0">
            <x v="0"/>
          </reference>
          <reference field="2" count="1" selected="0">
            <x v="1"/>
          </reference>
        </references>
      </pivotArea>
    </chartFormat>
    <chartFormat chart="5" format="27"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95ECABEE-8B23-49B6-BE4F-3E787EFE2784}" sourceName="LOCATION">
  <pivotTables>
    <pivotTable tabId="35" name="PivotTable1"/>
  </pivotTables>
  <data>
    <tabular pivotCacheId="1436761719">
      <items count="4">
        <i x="0" s="1"/>
        <i x="3"/>
        <i x="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B42153A2-76D1-4409-8A01-199A648B43C6}" sourceName="YEAR">
  <pivotTables>
    <pivotTable tabId="35" name="PivotTable4"/>
  </pivotTables>
  <data>
    <tabular pivotCacheId="1436761719">
      <items count="3">
        <i x="0" s="1"/>
        <i x="1"/>
        <i x="2"/>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8E895AA5-9B71-43C4-A694-AE653BFC7CF4}" sourceName="PRODUCT">
  <pivotTables>
    <pivotTable tabId="48" name="PivotTable1"/>
    <pivotTable tabId="48" name="PivotTable13"/>
  </pivotTables>
  <data>
    <tabular pivotCacheId="1616357269">
      <items count="7">
        <i x="2"/>
        <i x="1"/>
        <i x="6"/>
        <i x="3"/>
        <i x="5"/>
        <i x="4"/>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9319185D-DF22-446F-8485-02ABA24E1A61}" sourceName="YEAR">
  <pivotTables>
    <pivotTable tabId="48" name="PivotTable13"/>
    <pivotTable tabId="48" name="PivotTable14"/>
  </pivotTables>
  <data>
    <tabular pivotCacheId="1616357269">
      <items count="3">
        <i x="0"/>
        <i x="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1" xr10:uid="{B7B29F2E-0801-421E-8CAB-9AA549741C13}" sourceName="LOCATION">
  <pivotTables>
    <pivotTable tabId="48" name="PivotTable13"/>
    <pivotTable tabId="48" name="PivotTable14"/>
  </pivotTables>
  <data>
    <tabular pivotCacheId="1616357269">
      <items count="4">
        <i x="0"/>
        <i x="3"/>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xr10:uid="{0E508191-410F-438A-B82F-450BC3054DAE}" cache="Slicer_LOCATION" caption="LOCATION" style="SlicerStyleDark5" rowHeight="220133"/>
  <slicer name="YEAR" xr10:uid="{9AADCD87-3B72-471B-82AE-0DB6B2664088}" cache="Slicer_YEAR" caption="YEAR" style="SlicerStyleDark5" rowHeight="22013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433ACB73-28E4-4903-8389-28E495DC85D2}" cache="Slicer_PRODUCT" caption="PRODUCT" startItem="4" style="SlicerStyleDark5" rowHeight="220133"/>
  <slicer name="YEAR 1" xr10:uid="{8EB65981-1688-4CCF-8EF1-7802BD2B9FFE}" cache="Slicer_YEAR1" caption="YEAR" startItem="1" style="SlicerStyleDark5" rowHeight="220133"/>
  <slicer name="LOCATION 1" xr10:uid="{06EA1CA8-90D2-4CC4-A2EF-938DAF6F1B2A}" cache="Slicer_LOCATION1" caption="LOCATION" style="SlicerStyleDark5" rowHeight="22013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Financial" displayName="Financial" ref="A1:D73" totalsRowShown="0" headerRowDxfId="8">
  <tableColumns count="4">
    <tableColumn id="1" xr3:uid="{00000000-0010-0000-0000-000001000000}" name="YEAR"/>
    <tableColumn id="2" xr3:uid="{00000000-0010-0000-0000-000002000000}" name="LOCATION"/>
    <tableColumn id="3" xr3:uid="{00000000-0010-0000-0000-000003000000}" name="FIN TYPE">
      <calculatedColumnFormula>'Sales and Revenue'!G$39</calculatedColumnFormula>
    </tableColumn>
    <tableColumn id="4" xr3:uid="{00000000-0010-0000-0000-000004000000}" name="AM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Product_Profit" displayName="Product_Profit" ref="A1:J85" totalsRowShown="0" headerRowDxfId="7">
  <tableColumns count="10">
    <tableColumn id="1" xr3:uid="{00000000-0010-0000-0100-000001000000}" name="YEAR"/>
    <tableColumn id="2" xr3:uid="{00000000-0010-0000-0100-000002000000}" name="LOCATION"/>
    <tableColumn id="3" xr3:uid="{00000000-0010-0000-0100-000003000000}" name="PRODUCT"/>
    <tableColumn id="7" xr3:uid="{00000000-0010-0000-0100-000007000000}" name="SALES REVENUE" dataDxfId="6">
      <calculatedColumnFormula>'Sales and Revenue'!L5</calculatedColumnFormula>
    </tableColumn>
    <tableColumn id="9" xr3:uid="{00000000-0010-0000-0100-000009000000}" name="COGS" dataDxfId="5">
      <calculatedColumnFormula>COGS!L6</calculatedColumnFormula>
    </tableColumn>
    <tableColumn id="4" xr3:uid="{00000000-0010-0000-0100-000004000000}" name="PRODUCT PROFITABILITY"/>
    <tableColumn id="5" xr3:uid="{00000000-0010-0000-0100-000005000000}" name="SALES TARGET" dataDxfId="4">
      <calculatedColumnFormula>'Sales Target &amp; Actual'!C4</calculatedColumnFormula>
    </tableColumn>
    <tableColumn id="6" xr3:uid="{00000000-0010-0000-0100-000006000000}" name="ACTUAL SALES" dataDxfId="3">
      <calculatedColumnFormula>'Sales Target &amp; Actual'!I4</calculatedColumnFormula>
    </tableColumn>
    <tableColumn id="10" xr3:uid="{00000000-0010-0000-0100-00000A000000}" name="TARGET ANALYSIS" dataDxfId="2">
      <calculatedColumnFormula>Product_Profit[[#This Row],[ACTUAL SALES]]-Product_Profit[[#This Row],[SALES TARGET]]</calculatedColumnFormula>
    </tableColumn>
    <tableColumn id="8" xr3:uid="{00000000-0010-0000-0100-000008000000}" name="SALES PERFORMANCE" dataDxfId="1" dataCellStyle="Percent">
      <calculatedColumnFormula>Product_Profit[[#This Row],[TARGET ANALYSIS]]/Product_Profit[[#This Row],[SALES TARGET]]</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3.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20.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7.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U2:U7"/>
  <sheetViews>
    <sheetView tabSelected="1" workbookViewId="0">
      <selection activeCell="A9" sqref="A9"/>
    </sheetView>
  </sheetViews>
  <sheetFormatPr defaultRowHeight="12.5" x14ac:dyDescent="0.25"/>
  <cols>
    <col min="21" max="21" width="14.26953125" bestFit="1" customWidth="1"/>
  </cols>
  <sheetData>
    <row r="2" spans="21:21" ht="13" thickBot="1" x14ac:dyDescent="0.3"/>
    <row r="3" spans="21:21" ht="13.5" thickBot="1" x14ac:dyDescent="0.35">
      <c r="U3" s="93" t="s">
        <v>158</v>
      </c>
    </row>
    <row r="4" spans="21:21" x14ac:dyDescent="0.25">
      <c r="U4" s="92"/>
    </row>
    <row r="5" spans="21:21" ht="13" x14ac:dyDescent="0.3">
      <c r="U5" s="94">
        <v>2019</v>
      </c>
    </row>
    <row r="6" spans="21:21" ht="13" x14ac:dyDescent="0.3">
      <c r="U6" s="94">
        <v>2020</v>
      </c>
    </row>
    <row r="7" spans="21:21" ht="13.5" thickBot="1" x14ac:dyDescent="0.35">
      <c r="U7" s="95">
        <v>2021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pageSetUpPr fitToPage="1"/>
  </sheetPr>
  <dimension ref="B2:K31"/>
  <sheetViews>
    <sheetView topLeftCell="B1" zoomScaleNormal="100" workbookViewId="0">
      <selection activeCell="D24" sqref="D24"/>
    </sheetView>
  </sheetViews>
  <sheetFormatPr defaultRowHeight="12.5" x14ac:dyDescent="0.25"/>
  <cols>
    <col min="2" max="2" width="19.7265625" customWidth="1"/>
    <col min="3" max="6" width="15.7265625" customWidth="1"/>
    <col min="7" max="7" width="9.7265625" customWidth="1"/>
    <col min="8" max="8" width="26.1796875" customWidth="1"/>
    <col min="9" max="9" width="29.26953125" customWidth="1"/>
  </cols>
  <sheetData>
    <row r="2" spans="2:11" ht="13.5" thickBot="1" x14ac:dyDescent="0.35">
      <c r="B2" s="6" t="s">
        <v>159</v>
      </c>
      <c r="C2" s="6"/>
      <c r="D2" s="6"/>
      <c r="E2" s="6"/>
      <c r="F2" s="282">
        <f>'Omega Pty Ltd'!$U$5</f>
        <v>2019</v>
      </c>
      <c r="G2" s="6"/>
      <c r="H2" s="68" t="s">
        <v>82</v>
      </c>
      <c r="I2" s="68"/>
      <c r="J2" s="35"/>
      <c r="K2" s="35"/>
    </row>
    <row r="3" spans="2:11" ht="13.5" x14ac:dyDescent="0.35">
      <c r="B3" s="177" t="s">
        <v>14</v>
      </c>
      <c r="C3" s="79" t="s">
        <v>2</v>
      </c>
      <c r="D3" s="79" t="s">
        <v>3</v>
      </c>
      <c r="E3" s="79" t="s">
        <v>4</v>
      </c>
      <c r="F3" s="80" t="s">
        <v>5</v>
      </c>
      <c r="G3" s="35"/>
      <c r="H3" s="71" t="s">
        <v>14</v>
      </c>
      <c r="I3" s="72" t="s">
        <v>81</v>
      </c>
      <c r="J3" s="35"/>
      <c r="K3" s="35"/>
    </row>
    <row r="4" spans="2:11" ht="13" x14ac:dyDescent="0.3">
      <c r="B4" s="184" t="s">
        <v>15</v>
      </c>
      <c r="C4" s="185">
        <v>19</v>
      </c>
      <c r="D4" s="185">
        <v>23</v>
      </c>
      <c r="E4" s="185">
        <v>18</v>
      </c>
      <c r="F4" s="186">
        <v>15</v>
      </c>
      <c r="G4" s="35"/>
      <c r="H4" s="184" t="s">
        <v>15</v>
      </c>
      <c r="I4" s="76">
        <v>635</v>
      </c>
      <c r="J4" s="35"/>
      <c r="K4" s="35"/>
    </row>
    <row r="5" spans="2:11" ht="13" x14ac:dyDescent="0.3">
      <c r="B5" s="184" t="s">
        <v>16</v>
      </c>
      <c r="C5" s="185">
        <v>31</v>
      </c>
      <c r="D5" s="185">
        <v>26</v>
      </c>
      <c r="E5" s="185">
        <v>17</v>
      </c>
      <c r="F5" s="186">
        <v>14</v>
      </c>
      <c r="G5" s="35"/>
      <c r="H5" s="184" t="s">
        <v>16</v>
      </c>
      <c r="I5" s="76">
        <v>550</v>
      </c>
      <c r="J5" s="35"/>
      <c r="K5" s="35"/>
    </row>
    <row r="6" spans="2:11" ht="13" x14ac:dyDescent="0.3">
      <c r="B6" s="184" t="s">
        <v>103</v>
      </c>
      <c r="C6" s="185">
        <v>14</v>
      </c>
      <c r="D6" s="185">
        <v>13</v>
      </c>
      <c r="E6" s="185">
        <v>10</v>
      </c>
      <c r="F6" s="186">
        <v>9</v>
      </c>
      <c r="G6" s="35"/>
      <c r="H6" s="184" t="s">
        <v>103</v>
      </c>
      <c r="I6" s="76">
        <v>660</v>
      </c>
      <c r="J6" s="35"/>
      <c r="K6" s="35"/>
    </row>
    <row r="7" spans="2:11" ht="13" x14ac:dyDescent="0.3">
      <c r="B7" s="184" t="s">
        <v>17</v>
      </c>
      <c r="C7" s="185">
        <v>31</v>
      </c>
      <c r="D7" s="185">
        <v>20</v>
      </c>
      <c r="E7" s="185">
        <v>19</v>
      </c>
      <c r="F7" s="186">
        <v>12</v>
      </c>
      <c r="G7" s="35"/>
      <c r="H7" s="184" t="s">
        <v>17</v>
      </c>
      <c r="I7" s="76">
        <v>300</v>
      </c>
      <c r="J7" s="35"/>
      <c r="K7" s="35"/>
    </row>
    <row r="8" spans="2:11" ht="13" x14ac:dyDescent="0.3">
      <c r="B8" s="184" t="s">
        <v>18</v>
      </c>
      <c r="C8" s="185">
        <v>16</v>
      </c>
      <c r="D8" s="185">
        <v>15</v>
      </c>
      <c r="E8" s="185">
        <v>11</v>
      </c>
      <c r="F8" s="186">
        <v>7</v>
      </c>
      <c r="G8" s="35"/>
      <c r="H8" s="184" t="s">
        <v>18</v>
      </c>
      <c r="I8" s="76">
        <v>490</v>
      </c>
      <c r="J8" s="35"/>
      <c r="K8" s="35"/>
    </row>
    <row r="9" spans="2:11" ht="13" x14ac:dyDescent="0.3">
      <c r="B9" s="184" t="s">
        <v>104</v>
      </c>
      <c r="C9" s="185">
        <v>24</v>
      </c>
      <c r="D9" s="185">
        <v>23</v>
      </c>
      <c r="E9" s="185">
        <v>14</v>
      </c>
      <c r="F9" s="186">
        <v>7</v>
      </c>
      <c r="G9" s="35"/>
      <c r="H9" s="184" t="s">
        <v>104</v>
      </c>
      <c r="I9" s="76">
        <v>540</v>
      </c>
      <c r="J9" s="35"/>
      <c r="K9" s="35"/>
    </row>
    <row r="10" spans="2:11" ht="13" x14ac:dyDescent="0.3">
      <c r="B10" s="184" t="s">
        <v>105</v>
      </c>
      <c r="C10" s="185">
        <v>25</v>
      </c>
      <c r="D10" s="185">
        <v>17</v>
      </c>
      <c r="E10" s="185">
        <v>9</v>
      </c>
      <c r="F10" s="186">
        <v>8</v>
      </c>
      <c r="G10" s="35"/>
      <c r="H10" s="184" t="s">
        <v>105</v>
      </c>
      <c r="I10" s="76">
        <v>340</v>
      </c>
      <c r="J10" s="35"/>
      <c r="K10" s="35"/>
    </row>
    <row r="11" spans="2:11" x14ac:dyDescent="0.25">
      <c r="B11" s="35"/>
      <c r="C11" s="35"/>
      <c r="D11" s="35"/>
      <c r="E11" s="35"/>
      <c r="F11" s="35"/>
      <c r="G11" s="35"/>
      <c r="H11" s="35"/>
      <c r="I11" s="35"/>
      <c r="J11" s="35"/>
      <c r="K11" s="35"/>
    </row>
    <row r="12" spans="2:11" ht="13.5" thickBot="1" x14ac:dyDescent="0.35">
      <c r="B12" s="6" t="s">
        <v>159</v>
      </c>
      <c r="C12" s="6"/>
      <c r="D12" s="6"/>
      <c r="E12" s="6"/>
      <c r="F12" s="282">
        <f>'Omega Pty Ltd'!$U$6</f>
        <v>2020</v>
      </c>
      <c r="G12" s="35"/>
      <c r="H12" s="35"/>
      <c r="I12" s="35"/>
      <c r="J12" s="35"/>
      <c r="K12" s="35"/>
    </row>
    <row r="13" spans="2:11" ht="13.5" x14ac:dyDescent="0.35">
      <c r="B13" s="177" t="s">
        <v>14</v>
      </c>
      <c r="C13" s="79" t="s">
        <v>2</v>
      </c>
      <c r="D13" s="79" t="s">
        <v>3</v>
      </c>
      <c r="E13" s="79" t="s">
        <v>4</v>
      </c>
      <c r="F13" s="80" t="s">
        <v>5</v>
      </c>
      <c r="G13" s="35"/>
      <c r="H13" s="35"/>
      <c r="I13" s="35"/>
      <c r="J13" s="35"/>
      <c r="K13" s="35"/>
    </row>
    <row r="14" spans="2:11" ht="13" x14ac:dyDescent="0.3">
      <c r="B14" s="184" t="s">
        <v>15</v>
      </c>
      <c r="C14" s="185">
        <v>24</v>
      </c>
      <c r="D14" s="185">
        <v>25</v>
      </c>
      <c r="E14" s="185">
        <v>15</v>
      </c>
      <c r="F14" s="186">
        <v>13</v>
      </c>
      <c r="G14" s="35"/>
      <c r="H14" s="35"/>
      <c r="I14" s="35"/>
      <c r="J14" s="35"/>
      <c r="K14" s="35"/>
    </row>
    <row r="15" spans="2:11" ht="13" x14ac:dyDescent="0.3">
      <c r="B15" s="184" t="s">
        <v>16</v>
      </c>
      <c r="C15" s="185">
        <v>30</v>
      </c>
      <c r="D15" s="185">
        <v>26</v>
      </c>
      <c r="E15" s="185">
        <v>16</v>
      </c>
      <c r="F15" s="186">
        <v>14</v>
      </c>
      <c r="G15" s="35"/>
      <c r="H15" s="35"/>
      <c r="I15" s="35"/>
      <c r="J15" s="35"/>
      <c r="K15" s="35"/>
    </row>
    <row r="16" spans="2:11" ht="13" x14ac:dyDescent="0.3">
      <c r="B16" s="184" t="s">
        <v>103</v>
      </c>
      <c r="C16" s="185">
        <v>10</v>
      </c>
      <c r="D16" s="185">
        <v>12</v>
      </c>
      <c r="E16" s="185">
        <v>9</v>
      </c>
      <c r="F16" s="186">
        <v>8</v>
      </c>
      <c r="G16" s="35"/>
      <c r="H16" s="35"/>
      <c r="I16" s="35"/>
      <c r="J16" s="35"/>
      <c r="K16" s="35"/>
    </row>
    <row r="17" spans="2:11" ht="13" x14ac:dyDescent="0.3">
      <c r="B17" s="184" t="s">
        <v>17</v>
      </c>
      <c r="C17" s="185">
        <v>24</v>
      </c>
      <c r="D17" s="185">
        <v>18</v>
      </c>
      <c r="E17" s="185">
        <v>14</v>
      </c>
      <c r="F17" s="186">
        <v>19</v>
      </c>
      <c r="G17" s="35"/>
      <c r="H17" s="35"/>
      <c r="I17" s="35"/>
      <c r="J17" s="35"/>
      <c r="K17" s="35"/>
    </row>
    <row r="18" spans="2:11" ht="13" x14ac:dyDescent="0.3">
      <c r="B18" s="184" t="s">
        <v>18</v>
      </c>
      <c r="C18" s="185">
        <v>14</v>
      </c>
      <c r="D18" s="185">
        <v>12</v>
      </c>
      <c r="E18" s="185">
        <v>11</v>
      </c>
      <c r="F18" s="186">
        <v>10</v>
      </c>
      <c r="G18" s="35"/>
      <c r="H18" s="35"/>
      <c r="I18" s="35"/>
      <c r="J18" s="35"/>
      <c r="K18" s="35"/>
    </row>
    <row r="19" spans="2:11" ht="13" x14ac:dyDescent="0.3">
      <c r="B19" s="184" t="s">
        <v>104</v>
      </c>
      <c r="C19" s="185">
        <v>27</v>
      </c>
      <c r="D19" s="185">
        <v>25</v>
      </c>
      <c r="E19" s="185">
        <v>13</v>
      </c>
      <c r="F19" s="186">
        <v>15</v>
      </c>
      <c r="G19" s="35"/>
      <c r="H19" s="35"/>
      <c r="I19" s="35"/>
      <c r="J19" s="35"/>
      <c r="K19" s="35"/>
    </row>
    <row r="20" spans="2:11" ht="13" x14ac:dyDescent="0.3">
      <c r="B20" s="184" t="s">
        <v>105</v>
      </c>
      <c r="C20" s="185">
        <v>25</v>
      </c>
      <c r="D20" s="185">
        <v>21</v>
      </c>
      <c r="E20" s="185">
        <v>17</v>
      </c>
      <c r="F20" s="186">
        <v>16</v>
      </c>
      <c r="G20" s="35"/>
      <c r="H20" s="35"/>
      <c r="I20" s="35"/>
      <c r="J20" s="35"/>
      <c r="K20" s="35"/>
    </row>
    <row r="21" spans="2:11" x14ac:dyDescent="0.25">
      <c r="B21" s="35"/>
      <c r="C21" s="35"/>
      <c r="D21" s="35"/>
      <c r="E21" s="35"/>
      <c r="F21" s="35"/>
      <c r="G21" s="35"/>
      <c r="H21" s="35"/>
      <c r="I21" s="35"/>
      <c r="J21" s="35"/>
      <c r="K21" s="35"/>
    </row>
    <row r="22" spans="2:11" ht="13.5" thickBot="1" x14ac:dyDescent="0.35">
      <c r="B22" s="6" t="s">
        <v>159</v>
      </c>
      <c r="C22" s="6"/>
      <c r="D22" s="6"/>
      <c r="E22" s="6"/>
      <c r="F22" s="282">
        <f>'Omega Pty Ltd'!$U$7</f>
        <v>2021</v>
      </c>
      <c r="G22" s="35"/>
      <c r="H22" s="35"/>
      <c r="I22" s="35"/>
      <c r="J22" s="35"/>
      <c r="K22" s="35"/>
    </row>
    <row r="23" spans="2:11" ht="13.5" x14ac:dyDescent="0.35">
      <c r="B23" s="177" t="s">
        <v>14</v>
      </c>
      <c r="C23" s="79" t="s">
        <v>2</v>
      </c>
      <c r="D23" s="79" t="s">
        <v>3</v>
      </c>
      <c r="E23" s="79" t="s">
        <v>4</v>
      </c>
      <c r="F23" s="80" t="s">
        <v>5</v>
      </c>
      <c r="G23" s="35"/>
      <c r="H23" s="35"/>
      <c r="I23" s="35"/>
      <c r="J23" s="35"/>
      <c r="K23" s="35"/>
    </row>
    <row r="24" spans="2:11" ht="13" x14ac:dyDescent="0.3">
      <c r="B24" s="184" t="s">
        <v>15</v>
      </c>
      <c r="C24" s="185">
        <v>28</v>
      </c>
      <c r="D24" s="185">
        <v>20</v>
      </c>
      <c r="E24" s="185">
        <v>25</v>
      </c>
      <c r="F24" s="186">
        <v>13</v>
      </c>
      <c r="G24" s="35"/>
      <c r="H24" s="35"/>
      <c r="I24" s="35"/>
      <c r="J24" s="35"/>
      <c r="K24" s="35"/>
    </row>
    <row r="25" spans="2:11" ht="13" x14ac:dyDescent="0.3">
      <c r="B25" s="184" t="s">
        <v>16</v>
      </c>
      <c r="C25" s="185">
        <v>35</v>
      </c>
      <c r="D25" s="185">
        <v>20</v>
      </c>
      <c r="E25" s="185">
        <v>22</v>
      </c>
      <c r="F25" s="186">
        <v>23</v>
      </c>
      <c r="G25" s="35"/>
      <c r="H25" s="35"/>
      <c r="I25" s="35"/>
      <c r="J25" s="35"/>
      <c r="K25" s="35"/>
    </row>
    <row r="26" spans="2:11" ht="13" x14ac:dyDescent="0.3">
      <c r="B26" s="184" t="s">
        <v>103</v>
      </c>
      <c r="C26" s="185">
        <v>14</v>
      </c>
      <c r="D26" s="185">
        <v>19</v>
      </c>
      <c r="E26" s="185">
        <v>6</v>
      </c>
      <c r="F26" s="186">
        <v>5</v>
      </c>
      <c r="G26" s="35"/>
      <c r="H26" s="35"/>
      <c r="I26" s="35"/>
      <c r="J26" s="35"/>
      <c r="K26" s="35"/>
    </row>
    <row r="27" spans="2:11" ht="13" x14ac:dyDescent="0.3">
      <c r="B27" s="184" t="s">
        <v>17</v>
      </c>
      <c r="C27" s="185">
        <v>32</v>
      </c>
      <c r="D27" s="185">
        <v>26</v>
      </c>
      <c r="E27" s="185">
        <v>28</v>
      </c>
      <c r="F27" s="186">
        <v>17</v>
      </c>
      <c r="G27" s="35"/>
      <c r="H27" s="35"/>
      <c r="I27" s="35"/>
      <c r="J27" s="35"/>
      <c r="K27" s="35"/>
    </row>
    <row r="28" spans="2:11" ht="13" x14ac:dyDescent="0.3">
      <c r="B28" s="184" t="s">
        <v>18</v>
      </c>
      <c r="C28" s="185">
        <v>27</v>
      </c>
      <c r="D28" s="185">
        <v>12</v>
      </c>
      <c r="E28" s="185">
        <v>16</v>
      </c>
      <c r="F28" s="186">
        <v>17</v>
      </c>
      <c r="G28" s="35"/>
      <c r="H28" s="35"/>
      <c r="I28" s="35"/>
      <c r="J28" s="35"/>
      <c r="K28" s="35"/>
    </row>
    <row r="29" spans="2:11" ht="13" x14ac:dyDescent="0.3">
      <c r="B29" s="184" t="s">
        <v>104</v>
      </c>
      <c r="C29" s="185">
        <v>34</v>
      </c>
      <c r="D29" s="185">
        <v>27</v>
      </c>
      <c r="E29" s="185">
        <v>23</v>
      </c>
      <c r="F29" s="186">
        <v>16</v>
      </c>
      <c r="G29" s="35"/>
      <c r="H29" s="35"/>
      <c r="I29" s="35"/>
      <c r="J29" s="35"/>
      <c r="K29" s="35"/>
    </row>
    <row r="30" spans="2:11" ht="13" x14ac:dyDescent="0.3">
      <c r="B30" s="184" t="s">
        <v>105</v>
      </c>
      <c r="C30" s="185">
        <v>23</v>
      </c>
      <c r="D30" s="185">
        <v>14</v>
      </c>
      <c r="E30" s="185">
        <v>24</v>
      </c>
      <c r="F30" s="186">
        <v>18</v>
      </c>
      <c r="G30" s="35"/>
      <c r="H30" s="35"/>
      <c r="I30" s="35"/>
      <c r="J30" s="35"/>
      <c r="K30" s="35"/>
    </row>
    <row r="31" spans="2:11" x14ac:dyDescent="0.25">
      <c r="B31" s="35"/>
      <c r="C31" s="35"/>
      <c r="D31" s="35"/>
      <c r="E31" s="35"/>
      <c r="F31" s="35"/>
      <c r="G31" s="35"/>
      <c r="H31" s="35"/>
      <c r="I31" s="35"/>
      <c r="J31" s="35"/>
      <c r="K31" s="35"/>
    </row>
  </sheetData>
  <phoneticPr fontId="13" type="noConversion"/>
  <printOptions gridLines="1" gridLinesSet="0"/>
  <pageMargins left="0.75" right="0.75" top="1" bottom="1" header="0.5" footer="0.5"/>
  <pageSetup paperSize="9" scale="85" orientation="portrait" horizontalDpi="360" verticalDpi="300" r:id="rId1"/>
  <headerFooter alignWithMargins="0">
    <oddHeade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sheetPr>
  <dimension ref="B1:I96"/>
  <sheetViews>
    <sheetView topLeftCell="A38" workbookViewId="0">
      <selection activeCell="G41" sqref="G41"/>
    </sheetView>
  </sheetViews>
  <sheetFormatPr defaultRowHeight="12.5" x14ac:dyDescent="0.25"/>
  <cols>
    <col min="2" max="2" width="19.7265625" customWidth="1"/>
    <col min="3" max="3" width="15.26953125" customWidth="1"/>
    <col min="4" max="7" width="14.7265625" customWidth="1"/>
    <col min="8" max="12" width="12.7265625" customWidth="1"/>
  </cols>
  <sheetData>
    <row r="1" spans="2:9" x14ac:dyDescent="0.25">
      <c r="B1" s="35"/>
      <c r="C1" s="35"/>
      <c r="D1" s="35"/>
      <c r="E1" s="35"/>
      <c r="F1" s="35"/>
      <c r="G1" s="35"/>
      <c r="H1" s="35"/>
      <c r="I1" s="35"/>
    </row>
    <row r="2" spans="2:9" ht="13.5" thickBot="1" x14ac:dyDescent="0.35">
      <c r="B2" s="189" t="s">
        <v>0</v>
      </c>
      <c r="C2" s="189"/>
      <c r="D2" s="6"/>
      <c r="E2" s="6"/>
      <c r="F2" s="6"/>
      <c r="G2" s="35"/>
      <c r="H2" s="35"/>
      <c r="I2" s="35"/>
    </row>
    <row r="3" spans="2:9" ht="13.5" x14ac:dyDescent="0.35">
      <c r="B3" s="78" t="s">
        <v>1</v>
      </c>
      <c r="C3" s="79" t="s">
        <v>2</v>
      </c>
      <c r="D3" s="79" t="s">
        <v>3</v>
      </c>
      <c r="E3" s="79" t="s">
        <v>4</v>
      </c>
      <c r="F3" s="80" t="s">
        <v>5</v>
      </c>
      <c r="G3" s="35"/>
      <c r="H3" s="35"/>
      <c r="I3" s="35"/>
    </row>
    <row r="4" spans="2:9" ht="13" x14ac:dyDescent="0.3">
      <c r="B4" s="190" t="s">
        <v>6</v>
      </c>
      <c r="C4" s="191">
        <v>1</v>
      </c>
      <c r="D4" s="191">
        <v>1</v>
      </c>
      <c r="E4" s="191">
        <v>1</v>
      </c>
      <c r="F4" s="192">
        <v>1</v>
      </c>
      <c r="G4" s="35"/>
      <c r="H4" s="35"/>
      <c r="I4" s="35"/>
    </row>
    <row r="5" spans="2:9" ht="13" x14ac:dyDescent="0.3">
      <c r="B5" s="190" t="s">
        <v>7</v>
      </c>
      <c r="C5" s="191">
        <v>2</v>
      </c>
      <c r="D5" s="191">
        <v>2</v>
      </c>
      <c r="E5" s="191">
        <v>1</v>
      </c>
      <c r="F5" s="192">
        <v>1</v>
      </c>
      <c r="G5" s="35"/>
      <c r="H5" s="35"/>
      <c r="I5" s="35"/>
    </row>
    <row r="6" spans="2:9" ht="13.5" thickBot="1" x14ac:dyDescent="0.35">
      <c r="B6" s="193" t="s">
        <v>8</v>
      </c>
      <c r="C6" s="194">
        <v>10</v>
      </c>
      <c r="D6" s="194">
        <v>9</v>
      </c>
      <c r="E6" s="194">
        <v>5</v>
      </c>
      <c r="F6" s="195">
        <v>4</v>
      </c>
      <c r="G6" s="35"/>
      <c r="H6" s="35"/>
      <c r="I6" s="35"/>
    </row>
    <row r="7" spans="2:9" x14ac:dyDescent="0.25">
      <c r="B7" s="35"/>
      <c r="C7" s="35"/>
      <c r="D7" s="35"/>
      <c r="E7" s="35"/>
      <c r="F7" s="35"/>
      <c r="G7" s="35"/>
      <c r="H7" s="35"/>
      <c r="I7" s="35"/>
    </row>
    <row r="8" spans="2:9" x14ac:dyDescent="0.25">
      <c r="B8" s="35"/>
      <c r="C8" s="35"/>
      <c r="D8" s="35"/>
      <c r="E8" s="35"/>
      <c r="F8" s="35"/>
      <c r="G8" s="35"/>
      <c r="H8" s="35"/>
      <c r="I8" s="35"/>
    </row>
    <row r="9" spans="2:9" ht="13" x14ac:dyDescent="0.3">
      <c r="B9" s="68" t="s">
        <v>110</v>
      </c>
      <c r="C9" s="68"/>
      <c r="D9" s="68"/>
      <c r="E9" s="68"/>
      <c r="F9" s="6"/>
      <c r="G9" s="6"/>
      <c r="H9" s="35"/>
      <c r="I9" s="35"/>
    </row>
    <row r="10" spans="2:9" ht="13.5" thickBot="1" x14ac:dyDescent="0.35">
      <c r="B10" s="6" t="s">
        <v>9</v>
      </c>
      <c r="C10" s="6"/>
      <c r="D10" s="6"/>
      <c r="E10" s="6"/>
      <c r="F10" s="6"/>
      <c r="G10" s="6"/>
      <c r="H10" s="6"/>
      <c r="I10" s="6"/>
    </row>
    <row r="11" spans="2:9" ht="13.5" x14ac:dyDescent="0.35">
      <c r="B11" s="78" t="s">
        <v>1</v>
      </c>
      <c r="C11" s="277">
        <f>'Omega Pty Ltd'!$U$5</f>
        <v>2019</v>
      </c>
      <c r="D11" s="277">
        <f>'Omega Pty Ltd'!$U$6</f>
        <v>2020</v>
      </c>
      <c r="E11" s="278">
        <f>'Omega Pty Ltd'!$U$7</f>
        <v>2021</v>
      </c>
      <c r="F11" s="6"/>
      <c r="G11" s="6"/>
      <c r="H11" s="6"/>
      <c r="I11" s="6"/>
    </row>
    <row r="12" spans="2:9" ht="13" x14ac:dyDescent="0.3">
      <c r="B12" s="190" t="s">
        <v>6</v>
      </c>
      <c r="C12" s="82">
        <v>75000</v>
      </c>
      <c r="D12" s="82">
        <v>78000</v>
      </c>
      <c r="E12" s="180">
        <v>80000</v>
      </c>
      <c r="F12" s="6"/>
      <c r="G12" s="6"/>
      <c r="H12" s="6"/>
      <c r="I12" s="6"/>
    </row>
    <row r="13" spans="2:9" ht="13" x14ac:dyDescent="0.3">
      <c r="B13" s="190" t="s">
        <v>7</v>
      </c>
      <c r="C13" s="82">
        <v>40000</v>
      </c>
      <c r="D13" s="82">
        <v>41000</v>
      </c>
      <c r="E13" s="180">
        <v>42000</v>
      </c>
      <c r="F13" s="6"/>
      <c r="G13" s="196"/>
      <c r="H13" s="6"/>
      <c r="I13" s="6"/>
    </row>
    <row r="14" spans="2:9" ht="13.5" thickBot="1" x14ac:dyDescent="0.35">
      <c r="B14" s="193" t="s">
        <v>8</v>
      </c>
      <c r="C14" s="182">
        <v>58000</v>
      </c>
      <c r="D14" s="182">
        <v>60000</v>
      </c>
      <c r="E14" s="197">
        <v>63000</v>
      </c>
      <c r="F14" s="6"/>
      <c r="G14" s="6"/>
      <c r="H14" s="6"/>
      <c r="I14" s="6"/>
    </row>
    <row r="15" spans="2:9" ht="13" x14ac:dyDescent="0.3">
      <c r="B15" s="6"/>
      <c r="C15" s="6"/>
      <c r="D15" s="6"/>
      <c r="E15" s="6"/>
      <c r="F15" s="6"/>
      <c r="G15" s="6"/>
      <c r="H15" s="6"/>
      <c r="I15" s="6"/>
    </row>
    <row r="16" spans="2:9" ht="13" x14ac:dyDescent="0.3">
      <c r="B16" s="6"/>
      <c r="C16" s="6"/>
      <c r="D16" s="6"/>
      <c r="E16" s="6"/>
      <c r="F16" s="6"/>
      <c r="G16" s="6"/>
      <c r="H16" s="6"/>
      <c r="I16" s="6"/>
    </row>
    <row r="17" spans="2:9" ht="13" x14ac:dyDescent="0.3">
      <c r="B17" s="68" t="s">
        <v>111</v>
      </c>
      <c r="C17" s="68"/>
      <c r="D17" s="68"/>
      <c r="E17" s="35"/>
      <c r="F17" s="35"/>
      <c r="G17" s="35"/>
      <c r="H17" s="35"/>
      <c r="I17" s="35"/>
    </row>
    <row r="18" spans="2:9" ht="13.5" thickBot="1" x14ac:dyDescent="0.35">
      <c r="B18" s="6" t="s">
        <v>12</v>
      </c>
      <c r="C18" s="6"/>
      <c r="D18" s="6"/>
      <c r="E18" s="35"/>
      <c r="F18" s="35"/>
      <c r="G18" s="35"/>
      <c r="H18" s="35"/>
      <c r="I18" s="35"/>
    </row>
    <row r="19" spans="2:9" ht="13.5" x14ac:dyDescent="0.35">
      <c r="B19" s="78" t="s">
        <v>10</v>
      </c>
      <c r="C19" s="79" t="s">
        <v>2</v>
      </c>
      <c r="D19" s="79" t="s">
        <v>3</v>
      </c>
      <c r="E19" s="79" t="s">
        <v>4</v>
      </c>
      <c r="F19" s="80" t="s">
        <v>5</v>
      </c>
      <c r="G19" s="35"/>
      <c r="H19" s="35"/>
      <c r="I19" s="35"/>
    </row>
    <row r="20" spans="2:9" ht="13" x14ac:dyDescent="0.3">
      <c r="B20" s="96">
        <f>'Omega Pty Ltd'!$U$5</f>
        <v>2019</v>
      </c>
      <c r="C20" s="82">
        <v>300000</v>
      </c>
      <c r="D20" s="82">
        <v>285000</v>
      </c>
      <c r="E20" s="82">
        <v>130000</v>
      </c>
      <c r="F20" s="180">
        <v>115000</v>
      </c>
      <c r="G20" s="35"/>
      <c r="H20" s="35"/>
      <c r="I20" s="35"/>
    </row>
    <row r="21" spans="2:9" ht="13" x14ac:dyDescent="0.3">
      <c r="B21" s="96">
        <f>'Omega Pty Ltd'!$U$6</f>
        <v>2020</v>
      </c>
      <c r="C21" s="82">
        <v>300000</v>
      </c>
      <c r="D21" s="82">
        <v>285000</v>
      </c>
      <c r="E21" s="82">
        <v>130000</v>
      </c>
      <c r="F21" s="180">
        <v>115000</v>
      </c>
      <c r="G21" s="35"/>
      <c r="H21" s="35"/>
      <c r="I21" s="35"/>
    </row>
    <row r="22" spans="2:9" ht="13.5" thickBot="1" x14ac:dyDescent="0.35">
      <c r="B22" s="97">
        <f>'Omega Pty Ltd'!$U$7</f>
        <v>2021</v>
      </c>
      <c r="C22" s="182">
        <v>300000</v>
      </c>
      <c r="D22" s="182">
        <v>285000</v>
      </c>
      <c r="E22" s="182">
        <v>130000</v>
      </c>
      <c r="F22" s="197">
        <v>115000</v>
      </c>
      <c r="G22" s="35"/>
      <c r="H22" s="35"/>
      <c r="I22" s="35"/>
    </row>
    <row r="23" spans="2:9" x14ac:dyDescent="0.25">
      <c r="B23" s="35"/>
      <c r="C23" s="35"/>
      <c r="D23" s="35"/>
      <c r="E23" s="35"/>
      <c r="F23" s="35"/>
      <c r="G23" s="35"/>
      <c r="H23" s="35"/>
      <c r="I23" s="35"/>
    </row>
    <row r="24" spans="2:9" x14ac:dyDescent="0.25">
      <c r="B24" s="35"/>
      <c r="C24" s="35"/>
      <c r="D24" s="35"/>
      <c r="E24" s="35"/>
      <c r="F24" s="35"/>
      <c r="G24" s="35"/>
      <c r="H24" s="35"/>
      <c r="I24" s="35"/>
    </row>
    <row r="25" spans="2:9" ht="13.5" thickBot="1" x14ac:dyDescent="0.35">
      <c r="B25" s="68" t="s">
        <v>13</v>
      </c>
      <c r="C25" s="35"/>
      <c r="D25" s="35"/>
      <c r="E25" s="35"/>
      <c r="F25" s="35"/>
      <c r="G25" s="35"/>
      <c r="H25" s="35"/>
      <c r="I25" s="35"/>
    </row>
    <row r="26" spans="2:9" ht="13.5" x14ac:dyDescent="0.35">
      <c r="B26" s="78" t="s">
        <v>10</v>
      </c>
      <c r="C26" s="79" t="s">
        <v>2</v>
      </c>
      <c r="D26" s="79" t="s">
        <v>3</v>
      </c>
      <c r="E26" s="79" t="s">
        <v>4</v>
      </c>
      <c r="F26" s="80" t="s">
        <v>5</v>
      </c>
      <c r="G26" s="35"/>
      <c r="H26" s="35"/>
      <c r="I26" s="35"/>
    </row>
    <row r="27" spans="2:9" ht="13" x14ac:dyDescent="0.3">
      <c r="B27" s="96">
        <f>'Omega Pty Ltd'!$U$5</f>
        <v>2019</v>
      </c>
      <c r="C27" s="82">
        <v>95000</v>
      </c>
      <c r="D27" s="82">
        <v>90000</v>
      </c>
      <c r="E27" s="82">
        <v>60000</v>
      </c>
      <c r="F27" s="180">
        <v>40000</v>
      </c>
      <c r="G27" s="35"/>
      <c r="H27" s="35"/>
      <c r="I27" s="35"/>
    </row>
    <row r="28" spans="2:9" ht="13" x14ac:dyDescent="0.3">
      <c r="B28" s="96">
        <f>'Omega Pty Ltd'!$U$6</f>
        <v>2020</v>
      </c>
      <c r="C28" s="82">
        <v>95000</v>
      </c>
      <c r="D28" s="82">
        <v>85000</v>
      </c>
      <c r="E28" s="82">
        <v>70000</v>
      </c>
      <c r="F28" s="180">
        <v>40000</v>
      </c>
      <c r="G28" s="35"/>
      <c r="H28" s="35"/>
      <c r="I28" s="35"/>
    </row>
    <row r="29" spans="2:9" ht="13.5" thickBot="1" x14ac:dyDescent="0.35">
      <c r="B29" s="97">
        <f>'Omega Pty Ltd'!$U$7</f>
        <v>2021</v>
      </c>
      <c r="C29" s="182">
        <v>100000</v>
      </c>
      <c r="D29" s="182">
        <v>85000</v>
      </c>
      <c r="E29" s="182">
        <v>75000</v>
      </c>
      <c r="F29" s="197">
        <v>42000</v>
      </c>
      <c r="G29" s="35"/>
      <c r="H29" s="35"/>
      <c r="I29" s="35"/>
    </row>
    <row r="30" spans="2:9" x14ac:dyDescent="0.25">
      <c r="B30" s="35"/>
      <c r="C30" s="35"/>
      <c r="D30" s="35"/>
      <c r="E30" s="35"/>
      <c r="F30" s="35"/>
      <c r="G30" s="35"/>
      <c r="H30" s="35"/>
      <c r="I30" s="35"/>
    </row>
    <row r="31" spans="2:9" x14ac:dyDescent="0.25">
      <c r="B31" s="35"/>
      <c r="C31" s="35"/>
      <c r="D31" s="35"/>
      <c r="E31" s="35"/>
      <c r="F31" s="35"/>
      <c r="G31" s="35"/>
      <c r="H31" s="35"/>
      <c r="I31" s="35"/>
    </row>
    <row r="32" spans="2:9" ht="13" x14ac:dyDescent="0.3">
      <c r="B32" s="6"/>
      <c r="C32" s="6"/>
      <c r="D32" s="6"/>
      <c r="E32" s="6"/>
      <c r="F32" s="35"/>
      <c r="G32" s="35"/>
      <c r="H32" s="35"/>
      <c r="I32" s="35"/>
    </row>
    <row r="33" spans="2:9" ht="13" x14ac:dyDescent="0.3">
      <c r="B33" s="68" t="s">
        <v>19</v>
      </c>
      <c r="C33" s="68"/>
      <c r="D33" s="6" t="s">
        <v>20</v>
      </c>
      <c r="E33" s="6" t="s">
        <v>20</v>
      </c>
      <c r="F33" s="6"/>
      <c r="G33" s="35"/>
      <c r="H33" s="35"/>
      <c r="I33" s="35"/>
    </row>
    <row r="34" spans="2:9" ht="13.5" thickBot="1" x14ac:dyDescent="0.35">
      <c r="B34" s="6" t="s">
        <v>21</v>
      </c>
      <c r="C34" s="6"/>
      <c r="D34" s="6"/>
      <c r="E34" s="6"/>
      <c r="F34" s="6"/>
      <c r="G34" s="35"/>
      <c r="H34" s="35"/>
      <c r="I34" s="35"/>
    </row>
    <row r="35" spans="2:9" ht="13.5" x14ac:dyDescent="0.35">
      <c r="B35" s="177" t="s">
        <v>152</v>
      </c>
      <c r="C35" s="79" t="s">
        <v>2</v>
      </c>
      <c r="D35" s="79" t="s">
        <v>3</v>
      </c>
      <c r="E35" s="79" t="s">
        <v>4</v>
      </c>
      <c r="F35" s="80" t="s">
        <v>5</v>
      </c>
      <c r="G35" s="35"/>
      <c r="H35" s="35"/>
      <c r="I35" s="35"/>
    </row>
    <row r="36" spans="2:9" ht="13.5" thickBot="1" x14ac:dyDescent="0.35">
      <c r="B36" s="279" t="s">
        <v>100</v>
      </c>
      <c r="C36" s="280">
        <v>3830</v>
      </c>
      <c r="D36" s="280">
        <v>3680</v>
      </c>
      <c r="E36" s="280">
        <v>3190</v>
      </c>
      <c r="F36" s="281">
        <v>2810</v>
      </c>
      <c r="G36" s="35" t="s">
        <v>101</v>
      </c>
      <c r="H36" s="35"/>
      <c r="I36" s="35"/>
    </row>
    <row r="37" spans="2:9" ht="13.5" thickBot="1" x14ac:dyDescent="0.35">
      <c r="B37" s="176" t="s">
        <v>50</v>
      </c>
      <c r="C37" s="198">
        <v>3575</v>
      </c>
      <c r="D37" s="198">
        <v>3590</v>
      </c>
      <c r="E37" s="198">
        <v>2845</v>
      </c>
      <c r="F37" s="199">
        <v>2466</v>
      </c>
      <c r="G37" s="35"/>
      <c r="H37" s="35"/>
      <c r="I37" s="35"/>
    </row>
    <row r="38" spans="2:9" ht="13.5" thickBot="1" x14ac:dyDescent="0.35">
      <c r="B38" s="176" t="s">
        <v>51</v>
      </c>
      <c r="C38" s="198">
        <v>3598</v>
      </c>
      <c r="D38" s="198">
        <v>3866</v>
      </c>
      <c r="E38" s="198">
        <v>3445</v>
      </c>
      <c r="F38" s="199">
        <v>2639</v>
      </c>
      <c r="G38" s="35"/>
      <c r="H38" s="35"/>
      <c r="I38" s="35"/>
    </row>
    <row r="39" spans="2:9" ht="13.5" thickBot="1" x14ac:dyDescent="0.35">
      <c r="B39" s="176" t="s">
        <v>52</v>
      </c>
      <c r="C39" s="198">
        <v>3742</v>
      </c>
      <c r="D39" s="198">
        <v>3202</v>
      </c>
      <c r="E39" s="198">
        <v>2836</v>
      </c>
      <c r="F39" s="199">
        <v>2261</v>
      </c>
      <c r="G39" s="35"/>
      <c r="H39" s="35"/>
      <c r="I39" s="35"/>
    </row>
    <row r="40" spans="2:9" ht="13.5" thickBot="1" x14ac:dyDescent="0.35">
      <c r="B40" s="176" t="s">
        <v>53</v>
      </c>
      <c r="C40" s="198">
        <v>3507</v>
      </c>
      <c r="D40" s="198">
        <v>3735</v>
      </c>
      <c r="E40" s="198">
        <v>3403</v>
      </c>
      <c r="F40" s="199">
        <v>2696</v>
      </c>
      <c r="G40" s="35"/>
      <c r="H40" s="35"/>
      <c r="I40" s="35"/>
    </row>
    <row r="41" spans="2:9" ht="13.5" thickBot="1" x14ac:dyDescent="0.35">
      <c r="B41" s="297" t="s">
        <v>54</v>
      </c>
      <c r="C41" s="298">
        <f>4108*105%</f>
        <v>4313.4000000000005</v>
      </c>
      <c r="D41" s="298">
        <f>3064*105%</f>
        <v>3217.2000000000003</v>
      </c>
      <c r="E41" s="298">
        <f>3070*105%</f>
        <v>3223.5</v>
      </c>
      <c r="F41" s="299">
        <f>2448*105%</f>
        <v>2570.4</v>
      </c>
      <c r="G41" s="35">
        <v>65</v>
      </c>
      <c r="H41" s="35"/>
      <c r="I41" s="35"/>
    </row>
    <row r="42" spans="2:9" ht="13.5" thickBot="1" x14ac:dyDescent="0.35">
      <c r="B42" s="176" t="s">
        <v>55</v>
      </c>
      <c r="C42" s="198">
        <v>4062</v>
      </c>
      <c r="D42" s="198">
        <v>3350</v>
      </c>
      <c r="E42" s="198">
        <v>2901</v>
      </c>
      <c r="F42" s="199">
        <v>2315</v>
      </c>
      <c r="G42" s="35"/>
      <c r="H42" s="35"/>
      <c r="I42" s="35"/>
    </row>
    <row r="43" spans="2:9" ht="13.5" thickBot="1" x14ac:dyDescent="0.35">
      <c r="B43" s="176" t="s">
        <v>56</v>
      </c>
      <c r="C43" s="198">
        <v>4055</v>
      </c>
      <c r="D43" s="198">
        <v>3228</v>
      </c>
      <c r="E43" s="198">
        <v>3029</v>
      </c>
      <c r="F43" s="199">
        <v>2393</v>
      </c>
      <c r="G43" s="35"/>
      <c r="H43" s="35"/>
      <c r="I43" s="35"/>
    </row>
    <row r="44" spans="2:9" ht="13.5" thickBot="1" x14ac:dyDescent="0.35">
      <c r="B44" s="176" t="s">
        <v>57</v>
      </c>
      <c r="C44" s="198">
        <v>3772</v>
      </c>
      <c r="D44" s="198">
        <v>3395</v>
      </c>
      <c r="E44" s="198">
        <v>3155</v>
      </c>
      <c r="F44" s="199">
        <v>2190</v>
      </c>
      <c r="G44" s="35"/>
      <c r="H44" s="35"/>
      <c r="I44" s="35"/>
    </row>
    <row r="45" spans="2:9" ht="13.5" thickBot="1" x14ac:dyDescent="0.35">
      <c r="B45" s="176" t="s">
        <v>58</v>
      </c>
      <c r="C45" s="198">
        <v>3527</v>
      </c>
      <c r="D45" s="198">
        <v>3220</v>
      </c>
      <c r="E45" s="198">
        <v>3230</v>
      </c>
      <c r="F45" s="199">
        <v>2224</v>
      </c>
      <c r="G45" s="35"/>
      <c r="H45" s="35"/>
      <c r="I45" s="35"/>
    </row>
    <row r="46" spans="2:9" ht="13.5" thickBot="1" x14ac:dyDescent="0.35">
      <c r="B46" s="176" t="s">
        <v>59</v>
      </c>
      <c r="C46" s="198">
        <v>3808</v>
      </c>
      <c r="D46" s="198">
        <v>3809</v>
      </c>
      <c r="E46" s="198">
        <v>3336</v>
      </c>
      <c r="F46" s="199">
        <v>2274</v>
      </c>
      <c r="G46" s="35"/>
      <c r="H46" s="35"/>
      <c r="I46" s="35"/>
    </row>
    <row r="47" spans="2:9" ht="13.5" thickBot="1" x14ac:dyDescent="0.35">
      <c r="B47" s="176" t="s">
        <v>60</v>
      </c>
      <c r="C47" s="198">
        <v>4160</v>
      </c>
      <c r="D47" s="198">
        <v>3395</v>
      </c>
      <c r="E47" s="198">
        <v>2939</v>
      </c>
      <c r="F47" s="199">
        <v>2514</v>
      </c>
      <c r="G47" s="35"/>
      <c r="H47" s="35"/>
      <c r="I47" s="35"/>
    </row>
    <row r="48" spans="2:9" ht="13.5" thickBot="1" x14ac:dyDescent="0.35">
      <c r="B48" s="176" t="s">
        <v>61</v>
      </c>
      <c r="C48" s="198">
        <v>3646</v>
      </c>
      <c r="D48" s="198">
        <v>3438</v>
      </c>
      <c r="E48" s="198">
        <v>2826</v>
      </c>
      <c r="F48" s="199">
        <v>2427</v>
      </c>
      <c r="G48" s="35"/>
      <c r="H48" s="35"/>
      <c r="I48" s="35"/>
    </row>
    <row r="49" spans="2:9" ht="13.5" thickBot="1" x14ac:dyDescent="0.35">
      <c r="B49" s="176" t="s">
        <v>62</v>
      </c>
      <c r="C49" s="198">
        <v>4075</v>
      </c>
      <c r="D49" s="198">
        <v>3653</v>
      </c>
      <c r="E49" s="198">
        <v>3071</v>
      </c>
      <c r="F49" s="199">
        <v>2161</v>
      </c>
      <c r="G49" s="35"/>
      <c r="H49" s="35"/>
      <c r="I49" s="35"/>
    </row>
    <row r="50" spans="2:9" ht="13.5" thickBot="1" x14ac:dyDescent="0.35">
      <c r="B50" s="176" t="s">
        <v>63</v>
      </c>
      <c r="C50" s="198">
        <v>4249</v>
      </c>
      <c r="D50" s="198">
        <v>3036</v>
      </c>
      <c r="E50" s="198">
        <v>3248</v>
      </c>
      <c r="F50" s="199">
        <v>2582</v>
      </c>
      <c r="G50" s="35"/>
      <c r="H50" s="35"/>
      <c r="I50" s="35"/>
    </row>
    <row r="51" spans="2:9" ht="13.5" thickBot="1" x14ac:dyDescent="0.35">
      <c r="B51" s="176" t="s">
        <v>64</v>
      </c>
      <c r="C51" s="198">
        <v>3629</v>
      </c>
      <c r="D51" s="198">
        <v>3357</v>
      </c>
      <c r="E51" s="198">
        <v>2891</v>
      </c>
      <c r="F51" s="199">
        <v>2638</v>
      </c>
      <c r="G51" s="35"/>
      <c r="H51" s="35"/>
      <c r="I51" s="35"/>
    </row>
    <row r="52" spans="2:9" ht="13.5" thickBot="1" x14ac:dyDescent="0.35">
      <c r="B52" s="176" t="s">
        <v>65</v>
      </c>
      <c r="C52" s="198">
        <v>4204</v>
      </c>
      <c r="D52" s="198">
        <v>3126</v>
      </c>
      <c r="E52" s="198">
        <v>3222</v>
      </c>
      <c r="F52" s="199">
        <v>2447</v>
      </c>
      <c r="G52" s="35"/>
      <c r="H52" s="35"/>
      <c r="I52" s="35"/>
    </row>
    <row r="53" spans="2:9" ht="13.5" thickBot="1" x14ac:dyDescent="0.35">
      <c r="B53" s="176" t="s">
        <v>66</v>
      </c>
      <c r="C53" s="198">
        <v>3968</v>
      </c>
      <c r="D53" s="198">
        <v>3974</v>
      </c>
      <c r="E53" s="198">
        <v>3010</v>
      </c>
      <c r="F53" s="199">
        <v>2106</v>
      </c>
      <c r="G53" s="35"/>
      <c r="H53" s="35"/>
      <c r="I53" s="35"/>
    </row>
    <row r="54" spans="2:9" ht="13.5" thickBot="1" x14ac:dyDescent="0.35">
      <c r="B54" s="176" t="s">
        <v>67</v>
      </c>
      <c r="C54" s="198">
        <v>3646</v>
      </c>
      <c r="D54" s="198">
        <v>3482</v>
      </c>
      <c r="E54" s="198">
        <v>3199</v>
      </c>
      <c r="F54" s="199">
        <v>2786</v>
      </c>
      <c r="G54" s="35"/>
      <c r="H54" s="35"/>
      <c r="I54" s="35"/>
    </row>
    <row r="55" spans="2:9" ht="13.5" thickBot="1" x14ac:dyDescent="0.35">
      <c r="B55" s="176" t="s">
        <v>68</v>
      </c>
      <c r="C55" s="198">
        <v>3857</v>
      </c>
      <c r="D55" s="198">
        <v>3626</v>
      </c>
      <c r="E55" s="198">
        <v>3332</v>
      </c>
      <c r="F55" s="199">
        <v>2404</v>
      </c>
      <c r="G55" s="35"/>
      <c r="H55" s="35"/>
      <c r="I55" s="35"/>
    </row>
    <row r="56" spans="2:9" ht="13.5" thickBot="1" x14ac:dyDescent="0.35">
      <c r="B56" s="176" t="s">
        <v>69</v>
      </c>
      <c r="C56" s="198">
        <v>4199</v>
      </c>
      <c r="D56" s="198">
        <v>3393</v>
      </c>
      <c r="E56" s="198">
        <v>3357</v>
      </c>
      <c r="F56" s="199">
        <v>2036</v>
      </c>
      <c r="G56" s="35"/>
      <c r="H56" s="35"/>
      <c r="I56" s="35"/>
    </row>
    <row r="57" spans="2:9" ht="13.5" thickBot="1" x14ac:dyDescent="0.35">
      <c r="B57" s="176" t="s">
        <v>70</v>
      </c>
      <c r="C57" s="198">
        <v>3762</v>
      </c>
      <c r="D57" s="198">
        <v>3302</v>
      </c>
      <c r="E57" s="198">
        <v>3033</v>
      </c>
      <c r="F57" s="199">
        <v>2382</v>
      </c>
      <c r="G57" s="35"/>
      <c r="H57" s="35"/>
      <c r="I57" s="35"/>
    </row>
    <row r="58" spans="2:9" ht="13.5" thickBot="1" x14ac:dyDescent="0.35">
      <c r="B58" s="176" t="s">
        <v>71</v>
      </c>
      <c r="C58" s="198">
        <v>3852</v>
      </c>
      <c r="D58" s="198">
        <v>3254</v>
      </c>
      <c r="E58" s="198">
        <v>3460</v>
      </c>
      <c r="F58" s="199">
        <v>2194</v>
      </c>
      <c r="G58" s="35"/>
      <c r="H58" s="35"/>
      <c r="I58" s="35"/>
    </row>
    <row r="59" spans="2:9" ht="13.5" thickBot="1" x14ac:dyDescent="0.35">
      <c r="B59" s="176" t="s">
        <v>72</v>
      </c>
      <c r="C59" s="198">
        <v>3949</v>
      </c>
      <c r="D59" s="198">
        <v>3165</v>
      </c>
      <c r="E59" s="198">
        <v>2826</v>
      </c>
      <c r="F59" s="199">
        <v>2084</v>
      </c>
      <c r="G59" s="35"/>
      <c r="H59" s="35"/>
      <c r="I59" s="35"/>
    </row>
    <row r="60" spans="2:9" ht="13.5" thickBot="1" x14ac:dyDescent="0.35">
      <c r="B60" s="176" t="s">
        <v>73</v>
      </c>
      <c r="C60" s="198">
        <v>4372</v>
      </c>
      <c r="D60" s="198">
        <v>3679</v>
      </c>
      <c r="E60" s="198">
        <v>3442</v>
      </c>
      <c r="F60" s="199">
        <v>2140</v>
      </c>
      <c r="G60" s="35"/>
      <c r="H60" s="35"/>
      <c r="I60" s="35"/>
    </row>
    <row r="61" spans="2:9" ht="13.5" thickBot="1" x14ac:dyDescent="0.35">
      <c r="B61" s="176" t="s">
        <v>74</v>
      </c>
      <c r="C61" s="198">
        <v>3709</v>
      </c>
      <c r="D61" s="198">
        <v>3333</v>
      </c>
      <c r="E61" s="198">
        <v>3163</v>
      </c>
      <c r="F61" s="199">
        <v>2192</v>
      </c>
      <c r="G61" s="35"/>
      <c r="H61" s="35"/>
      <c r="I61" s="35"/>
    </row>
    <row r="62" spans="2:9" ht="13.5" thickBot="1" x14ac:dyDescent="0.35">
      <c r="B62" s="176" t="s">
        <v>114</v>
      </c>
      <c r="C62" s="198">
        <v>3588</v>
      </c>
      <c r="D62" s="198">
        <v>3580</v>
      </c>
      <c r="E62" s="198">
        <v>3267</v>
      </c>
      <c r="F62" s="199">
        <v>2471</v>
      </c>
      <c r="G62" s="35"/>
      <c r="H62" s="35"/>
      <c r="I62" s="35"/>
    </row>
    <row r="63" spans="2:9" ht="13.5" thickBot="1" x14ac:dyDescent="0.35">
      <c r="B63" s="176" t="s">
        <v>115</v>
      </c>
      <c r="C63" s="198">
        <v>3892</v>
      </c>
      <c r="D63" s="198">
        <v>3025</v>
      </c>
      <c r="E63" s="198">
        <v>3191</v>
      </c>
      <c r="F63" s="199">
        <v>2369</v>
      </c>
      <c r="G63" s="35"/>
      <c r="H63" s="35"/>
      <c r="I63" s="35"/>
    </row>
    <row r="64" spans="2:9" ht="13.5" thickBot="1" x14ac:dyDescent="0.35">
      <c r="B64" s="176" t="s">
        <v>116</v>
      </c>
      <c r="C64" s="198">
        <v>3678</v>
      </c>
      <c r="D64" s="198">
        <v>3570</v>
      </c>
      <c r="E64" s="198">
        <v>3217</v>
      </c>
      <c r="F64" s="199">
        <v>2633</v>
      </c>
      <c r="G64" s="35"/>
      <c r="H64" s="35"/>
      <c r="I64" s="35"/>
    </row>
    <row r="65" spans="2:9" ht="13.5" thickBot="1" x14ac:dyDescent="0.35">
      <c r="B65" s="176" t="s">
        <v>117</v>
      </c>
      <c r="C65" s="198">
        <v>4003</v>
      </c>
      <c r="D65" s="198">
        <v>3225</v>
      </c>
      <c r="E65" s="198">
        <v>3379</v>
      </c>
      <c r="F65" s="199">
        <v>2693</v>
      </c>
      <c r="G65" s="35"/>
      <c r="H65" s="35"/>
      <c r="I65" s="35"/>
    </row>
    <row r="66" spans="2:9" ht="13.5" thickBot="1" x14ac:dyDescent="0.35">
      <c r="B66" s="176" t="s">
        <v>118</v>
      </c>
      <c r="C66" s="198">
        <v>4083</v>
      </c>
      <c r="D66" s="198">
        <v>3105</v>
      </c>
      <c r="E66" s="198">
        <v>3373</v>
      </c>
      <c r="F66" s="199">
        <v>2758</v>
      </c>
      <c r="G66" s="35"/>
      <c r="H66" s="35"/>
      <c r="I66" s="35"/>
    </row>
    <row r="67" spans="2:9" ht="13.5" thickBot="1" x14ac:dyDescent="0.35">
      <c r="B67" s="176" t="s">
        <v>119</v>
      </c>
      <c r="C67" s="198">
        <v>4009</v>
      </c>
      <c r="D67" s="198">
        <v>3974</v>
      </c>
      <c r="E67" s="198">
        <v>3250</v>
      </c>
      <c r="F67" s="199">
        <v>2258</v>
      </c>
      <c r="G67" s="35"/>
      <c r="H67" s="35"/>
      <c r="I67" s="35"/>
    </row>
    <row r="68" spans="2:9" ht="13.5" thickBot="1" x14ac:dyDescent="0.35">
      <c r="B68" s="176" t="s">
        <v>120</v>
      </c>
      <c r="C68" s="198">
        <v>4155</v>
      </c>
      <c r="D68" s="198">
        <v>3075</v>
      </c>
      <c r="E68" s="198">
        <v>3356</v>
      </c>
      <c r="F68" s="199">
        <v>2263</v>
      </c>
      <c r="G68" s="35"/>
      <c r="H68" s="35"/>
      <c r="I68" s="35"/>
    </row>
    <row r="69" spans="2:9" ht="13.5" thickBot="1" x14ac:dyDescent="0.35">
      <c r="B69" s="176" t="s">
        <v>121</v>
      </c>
      <c r="C69" s="198">
        <v>4320</v>
      </c>
      <c r="D69" s="198">
        <v>3513</v>
      </c>
      <c r="E69" s="198">
        <v>3116</v>
      </c>
      <c r="F69" s="199">
        <v>2222</v>
      </c>
      <c r="G69" s="35"/>
      <c r="H69" s="35"/>
      <c r="I69" s="35"/>
    </row>
    <row r="70" spans="2:9" ht="13.5" thickBot="1" x14ac:dyDescent="0.35">
      <c r="B70" s="176" t="s">
        <v>122</v>
      </c>
      <c r="C70" s="198">
        <v>4441</v>
      </c>
      <c r="D70" s="198">
        <v>3741</v>
      </c>
      <c r="E70" s="198">
        <v>2996</v>
      </c>
      <c r="F70" s="199">
        <v>2217</v>
      </c>
      <c r="G70" s="35"/>
      <c r="H70" s="35"/>
      <c r="I70" s="35"/>
    </row>
    <row r="71" spans="2:9" ht="13.5" thickBot="1" x14ac:dyDescent="0.35">
      <c r="B71" s="176" t="s">
        <v>123</v>
      </c>
      <c r="C71" s="198">
        <v>3959</v>
      </c>
      <c r="D71" s="198">
        <v>3446</v>
      </c>
      <c r="E71" s="198">
        <v>2875</v>
      </c>
      <c r="F71" s="199">
        <v>2732</v>
      </c>
      <c r="G71" s="35"/>
      <c r="H71" s="35"/>
      <c r="I71" s="35"/>
    </row>
    <row r="72" spans="2:9" ht="13.5" thickBot="1" x14ac:dyDescent="0.35">
      <c r="B72" s="176" t="s">
        <v>127</v>
      </c>
      <c r="C72" s="198">
        <v>4438</v>
      </c>
      <c r="D72" s="198">
        <v>3639</v>
      </c>
      <c r="E72" s="198">
        <v>2912</v>
      </c>
      <c r="F72" s="199">
        <v>2765</v>
      </c>
      <c r="G72" s="35"/>
      <c r="H72" s="35"/>
      <c r="I72" s="35"/>
    </row>
    <row r="73" spans="2:9" ht="13.5" thickBot="1" x14ac:dyDescent="0.35">
      <c r="B73" s="176" t="s">
        <v>128</v>
      </c>
      <c r="C73" s="198">
        <v>4305</v>
      </c>
      <c r="D73" s="198">
        <v>3283</v>
      </c>
      <c r="E73" s="198">
        <v>3384</v>
      </c>
      <c r="F73" s="199">
        <v>2194</v>
      </c>
      <c r="G73" s="35"/>
      <c r="H73" s="35"/>
      <c r="I73" s="35"/>
    </row>
    <row r="74" spans="2:9" ht="13.5" thickBot="1" x14ac:dyDescent="0.35">
      <c r="B74" s="176" t="s">
        <v>129</v>
      </c>
      <c r="C74" s="198">
        <v>4159</v>
      </c>
      <c r="D74" s="198">
        <v>3382</v>
      </c>
      <c r="E74" s="198">
        <v>3437</v>
      </c>
      <c r="F74" s="199">
        <v>2159</v>
      </c>
      <c r="G74" s="35"/>
      <c r="H74" s="35"/>
      <c r="I74" s="35"/>
    </row>
    <row r="75" spans="2:9" ht="13.5" thickBot="1" x14ac:dyDescent="0.35">
      <c r="B75" s="176" t="s">
        <v>130</v>
      </c>
      <c r="C75" s="198">
        <v>4498</v>
      </c>
      <c r="D75" s="198">
        <v>3554</v>
      </c>
      <c r="E75" s="198">
        <v>3475</v>
      </c>
      <c r="F75" s="199">
        <v>2156</v>
      </c>
      <c r="G75" s="35"/>
      <c r="H75" s="35"/>
      <c r="I75" s="35"/>
    </row>
    <row r="76" spans="2:9" ht="13.5" thickBot="1" x14ac:dyDescent="0.35">
      <c r="B76" s="176" t="s">
        <v>131</v>
      </c>
      <c r="C76" s="198">
        <v>4373</v>
      </c>
      <c r="D76" s="198">
        <v>3720</v>
      </c>
      <c r="E76" s="198">
        <v>2944</v>
      </c>
      <c r="F76" s="199">
        <v>2011</v>
      </c>
      <c r="G76" s="35"/>
      <c r="H76" s="35"/>
      <c r="I76" s="35"/>
    </row>
    <row r="77" spans="2:9" ht="13.5" thickBot="1" x14ac:dyDescent="0.35">
      <c r="B77" s="176" t="s">
        <v>132</v>
      </c>
      <c r="C77" s="198">
        <v>4311</v>
      </c>
      <c r="D77" s="198">
        <v>3902</v>
      </c>
      <c r="E77" s="198">
        <v>3429</v>
      </c>
      <c r="F77" s="199">
        <v>2759</v>
      </c>
      <c r="G77" s="35"/>
      <c r="H77" s="35"/>
      <c r="I77" s="35"/>
    </row>
    <row r="78" spans="2:9" ht="13.5" thickBot="1" x14ac:dyDescent="0.35">
      <c r="B78" s="176" t="s">
        <v>133</v>
      </c>
      <c r="C78" s="198">
        <v>3979</v>
      </c>
      <c r="D78" s="198">
        <v>3715</v>
      </c>
      <c r="E78" s="198">
        <v>3330</v>
      </c>
      <c r="F78" s="199">
        <v>2524</v>
      </c>
      <c r="G78" s="35"/>
      <c r="H78" s="35"/>
      <c r="I78" s="35"/>
    </row>
    <row r="79" spans="2:9" ht="13.5" thickBot="1" x14ac:dyDescent="0.35">
      <c r="B79" s="176" t="s">
        <v>134</v>
      </c>
      <c r="C79" s="198">
        <v>4364</v>
      </c>
      <c r="D79" s="198">
        <v>3603</v>
      </c>
      <c r="E79" s="198">
        <v>2954</v>
      </c>
      <c r="F79" s="199">
        <v>2686</v>
      </c>
      <c r="G79" s="35"/>
      <c r="H79" s="35"/>
      <c r="I79" s="35"/>
    </row>
    <row r="80" spans="2:9" ht="13.5" thickBot="1" x14ac:dyDescent="0.35">
      <c r="B80" s="176" t="s">
        <v>135</v>
      </c>
      <c r="C80" s="198">
        <v>3867</v>
      </c>
      <c r="D80" s="198">
        <v>3545</v>
      </c>
      <c r="E80" s="198">
        <v>3258</v>
      </c>
      <c r="F80" s="199">
        <v>2753</v>
      </c>
      <c r="G80" s="35"/>
      <c r="H80" s="35"/>
      <c r="I80" s="35"/>
    </row>
    <row r="81" spans="2:9" ht="13.5" thickBot="1" x14ac:dyDescent="0.35">
      <c r="B81" s="176" t="s">
        <v>136</v>
      </c>
      <c r="C81" s="198">
        <v>4426</v>
      </c>
      <c r="D81" s="198">
        <v>3560</v>
      </c>
      <c r="E81" s="198">
        <v>3317</v>
      </c>
      <c r="F81" s="199">
        <v>2569</v>
      </c>
      <c r="G81" s="35"/>
      <c r="H81" s="35"/>
      <c r="I81" s="35"/>
    </row>
    <row r="82" spans="2:9" ht="13.5" thickBot="1" x14ac:dyDescent="0.35">
      <c r="B82" s="176" t="s">
        <v>137</v>
      </c>
      <c r="C82" s="198">
        <v>4166</v>
      </c>
      <c r="D82" s="198">
        <v>3579</v>
      </c>
      <c r="E82" s="198">
        <v>3437</v>
      </c>
      <c r="F82" s="199">
        <v>2592</v>
      </c>
      <c r="G82" s="35"/>
      <c r="H82" s="35"/>
      <c r="I82" s="35"/>
    </row>
    <row r="83" spans="2:9" ht="13.5" thickBot="1" x14ac:dyDescent="0.35">
      <c r="B83" s="176" t="s">
        <v>138</v>
      </c>
      <c r="C83" s="198">
        <v>3561</v>
      </c>
      <c r="D83" s="198">
        <v>3263</v>
      </c>
      <c r="E83" s="198">
        <v>3336</v>
      </c>
      <c r="F83" s="199">
        <v>2396</v>
      </c>
      <c r="G83" s="35"/>
      <c r="H83" s="35"/>
      <c r="I83" s="35"/>
    </row>
    <row r="84" spans="2:9" ht="13.5" thickBot="1" x14ac:dyDescent="0.35">
      <c r="B84" s="176" t="s">
        <v>139</v>
      </c>
      <c r="C84" s="198">
        <v>4456</v>
      </c>
      <c r="D84" s="198">
        <v>3716</v>
      </c>
      <c r="E84" s="198">
        <v>3156</v>
      </c>
      <c r="F84" s="199">
        <v>2362</v>
      </c>
      <c r="G84" s="35"/>
      <c r="H84" s="35"/>
      <c r="I84" s="35"/>
    </row>
    <row r="85" spans="2:9" ht="13.5" thickBot="1" x14ac:dyDescent="0.35">
      <c r="B85" s="176" t="s">
        <v>140</v>
      </c>
      <c r="C85" s="198">
        <v>4373</v>
      </c>
      <c r="D85" s="198">
        <v>3200</v>
      </c>
      <c r="E85" s="198">
        <v>3321</v>
      </c>
      <c r="F85" s="199">
        <v>2485</v>
      </c>
      <c r="G85" s="35"/>
      <c r="H85" s="35"/>
      <c r="I85" s="35"/>
    </row>
    <row r="86" spans="2:9" ht="13.5" thickBot="1" x14ac:dyDescent="0.35">
      <c r="B86" s="176" t="s">
        <v>141</v>
      </c>
      <c r="C86" s="198">
        <v>3523</v>
      </c>
      <c r="D86" s="198">
        <v>3213</v>
      </c>
      <c r="E86" s="198">
        <v>3324</v>
      </c>
      <c r="F86" s="199">
        <v>2231</v>
      </c>
      <c r="G86" s="35"/>
      <c r="H86" s="35"/>
      <c r="I86" s="35"/>
    </row>
    <row r="87" spans="2:9" ht="13.5" thickBot="1" x14ac:dyDescent="0.35">
      <c r="B87" s="176" t="s">
        <v>142</v>
      </c>
      <c r="C87" s="198">
        <v>4320</v>
      </c>
      <c r="D87" s="198">
        <v>3754</v>
      </c>
      <c r="E87" s="198">
        <v>3358</v>
      </c>
      <c r="F87" s="199">
        <v>2628</v>
      </c>
      <c r="G87" s="35"/>
      <c r="H87" s="35"/>
      <c r="I87" s="35"/>
    </row>
    <row r="88" spans="2:9" ht="13.5" thickBot="1" x14ac:dyDescent="0.35">
      <c r="B88" s="176" t="s">
        <v>143</v>
      </c>
      <c r="C88" s="198">
        <v>3690</v>
      </c>
      <c r="D88" s="198">
        <v>3583</v>
      </c>
      <c r="E88" s="198">
        <v>2815</v>
      </c>
      <c r="F88" s="199">
        <v>2487</v>
      </c>
      <c r="G88" s="35"/>
      <c r="H88" s="35"/>
      <c r="I88" s="35"/>
    </row>
    <row r="89" spans="2:9" ht="13.5" thickBot="1" x14ac:dyDescent="0.35">
      <c r="B89" s="176" t="s">
        <v>144</v>
      </c>
      <c r="C89" s="198">
        <v>4118</v>
      </c>
      <c r="D89" s="198">
        <v>3264</v>
      </c>
      <c r="E89" s="198">
        <v>3152</v>
      </c>
      <c r="F89" s="199">
        <v>2496</v>
      </c>
      <c r="G89" s="35"/>
      <c r="H89" s="35"/>
      <c r="I89" s="35"/>
    </row>
    <row r="90" spans="2:9" ht="13.5" thickBot="1" x14ac:dyDescent="0.35">
      <c r="B90" s="176" t="s">
        <v>145</v>
      </c>
      <c r="C90" s="198">
        <v>3680</v>
      </c>
      <c r="D90" s="198">
        <v>3972</v>
      </c>
      <c r="E90" s="198">
        <v>3246</v>
      </c>
      <c r="F90" s="199">
        <v>2689</v>
      </c>
      <c r="G90" s="35"/>
      <c r="H90" s="35"/>
      <c r="I90" s="35"/>
    </row>
    <row r="91" spans="2:9" ht="13.5" thickBot="1" x14ac:dyDescent="0.35">
      <c r="B91" s="176" t="s">
        <v>146</v>
      </c>
      <c r="C91" s="198">
        <v>4140</v>
      </c>
      <c r="D91" s="198">
        <v>3157</v>
      </c>
      <c r="E91" s="198">
        <v>3274</v>
      </c>
      <c r="F91" s="199">
        <v>2294</v>
      </c>
      <c r="G91" s="35"/>
      <c r="H91" s="35"/>
      <c r="I91" s="35"/>
    </row>
    <row r="92" spans="2:9" ht="13.5" thickBot="1" x14ac:dyDescent="0.35">
      <c r="B92" s="176" t="s">
        <v>147</v>
      </c>
      <c r="C92" s="198">
        <v>3761</v>
      </c>
      <c r="D92" s="198">
        <v>3134</v>
      </c>
      <c r="E92" s="198">
        <v>3172</v>
      </c>
      <c r="F92" s="199">
        <v>2747</v>
      </c>
      <c r="G92" s="35"/>
      <c r="H92" s="35"/>
      <c r="I92" s="35"/>
    </row>
    <row r="93" spans="2:9" ht="13.5" thickBot="1" x14ac:dyDescent="0.35">
      <c r="B93" s="176" t="s">
        <v>148</v>
      </c>
      <c r="C93" s="198">
        <v>4366</v>
      </c>
      <c r="D93" s="198">
        <v>3164</v>
      </c>
      <c r="E93" s="198">
        <v>3393</v>
      </c>
      <c r="F93" s="199">
        <v>2527</v>
      </c>
      <c r="G93" s="35"/>
      <c r="H93" s="35"/>
      <c r="I93" s="35"/>
    </row>
    <row r="94" spans="2:9" ht="13.5" thickBot="1" x14ac:dyDescent="0.35">
      <c r="B94" s="176" t="s">
        <v>149</v>
      </c>
      <c r="C94" s="198">
        <v>4230</v>
      </c>
      <c r="D94" s="198">
        <v>3747</v>
      </c>
      <c r="E94" s="198">
        <v>3301</v>
      </c>
      <c r="F94" s="199">
        <v>2512</v>
      </c>
      <c r="G94" s="35"/>
      <c r="H94" s="35"/>
      <c r="I94" s="35"/>
    </row>
    <row r="95" spans="2:9" ht="13.5" thickBot="1" x14ac:dyDescent="0.35">
      <c r="B95" s="176" t="s">
        <v>150</v>
      </c>
      <c r="C95" s="198">
        <v>4442</v>
      </c>
      <c r="D95" s="198">
        <v>3316</v>
      </c>
      <c r="E95" s="198">
        <v>2837</v>
      </c>
      <c r="F95" s="199">
        <v>2757</v>
      </c>
      <c r="G95" s="35"/>
      <c r="H95" s="35"/>
      <c r="I95" s="35"/>
    </row>
    <row r="96" spans="2:9" ht="13.5" thickBot="1" x14ac:dyDescent="0.35">
      <c r="B96" s="176" t="s">
        <v>151</v>
      </c>
      <c r="C96" s="198">
        <v>3688</v>
      </c>
      <c r="D96" s="198">
        <v>3227</v>
      </c>
      <c r="E96" s="198">
        <v>3101</v>
      </c>
      <c r="F96" s="199">
        <v>2665</v>
      </c>
      <c r="G96" s="35"/>
      <c r="H96" s="35"/>
      <c r="I96" s="35"/>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sheetPr>
  <dimension ref="A1:O35"/>
  <sheetViews>
    <sheetView workbookViewId="0">
      <selection activeCell="H37" sqref="H37"/>
    </sheetView>
  </sheetViews>
  <sheetFormatPr defaultRowHeight="12.5" x14ac:dyDescent="0.25"/>
  <cols>
    <col min="2" max="2" width="33" customWidth="1"/>
    <col min="3" max="3" width="15.1796875" customWidth="1"/>
    <col min="4" max="4" width="12.54296875" bestFit="1" customWidth="1"/>
    <col min="5" max="5" width="12.26953125" bestFit="1" customWidth="1"/>
    <col min="6" max="6" width="13.1796875" customWidth="1"/>
    <col min="8" max="8" width="26.1796875" customWidth="1"/>
    <col min="9" max="9" width="15.26953125" customWidth="1"/>
    <col min="10" max="10" width="13.54296875" customWidth="1"/>
    <col min="11" max="11" width="14.453125" customWidth="1"/>
    <col min="12" max="12" width="13.453125" customWidth="1"/>
    <col min="14" max="14" width="24.453125" customWidth="1"/>
    <col min="15" max="15" width="21.7265625" customWidth="1"/>
  </cols>
  <sheetData>
    <row r="1" spans="1:15" x14ac:dyDescent="0.25">
      <c r="A1" s="35"/>
      <c r="B1" s="35"/>
      <c r="C1" s="35"/>
      <c r="D1" s="35"/>
      <c r="E1" s="35"/>
      <c r="F1" s="35"/>
      <c r="G1" s="35"/>
      <c r="H1" s="35"/>
      <c r="I1" s="35"/>
      <c r="J1" s="35"/>
      <c r="K1" s="35"/>
      <c r="L1" s="35"/>
      <c r="M1" s="35"/>
      <c r="N1" s="35"/>
      <c r="O1" s="35"/>
    </row>
    <row r="2" spans="1:15" ht="13" x14ac:dyDescent="0.3">
      <c r="B2" s="6" t="s">
        <v>160</v>
      </c>
      <c r="C2" s="6"/>
      <c r="D2" s="6"/>
      <c r="E2" s="282">
        <f>'Omega Pty Ltd'!U5</f>
        <v>2019</v>
      </c>
      <c r="F2" s="6"/>
      <c r="G2" s="35"/>
      <c r="H2" s="6" t="s">
        <v>161</v>
      </c>
      <c r="I2" s="6"/>
      <c r="J2" s="6"/>
      <c r="K2" s="282">
        <f>E2</f>
        <v>2019</v>
      </c>
      <c r="L2" s="200"/>
      <c r="M2" s="35"/>
      <c r="N2" s="68" t="s">
        <v>107</v>
      </c>
      <c r="O2" s="68"/>
    </row>
    <row r="3" spans="1:15" ht="13.5" x14ac:dyDescent="0.35">
      <c r="B3" s="69" t="s">
        <v>14</v>
      </c>
      <c r="C3" s="70" t="s">
        <v>2</v>
      </c>
      <c r="D3" s="70" t="s">
        <v>3</v>
      </c>
      <c r="E3" s="70" t="s">
        <v>4</v>
      </c>
      <c r="F3" s="70" t="s">
        <v>5</v>
      </c>
      <c r="G3" s="35"/>
      <c r="H3" s="69" t="s">
        <v>14</v>
      </c>
      <c r="I3" s="70" t="s">
        <v>2</v>
      </c>
      <c r="J3" s="70" t="s">
        <v>3</v>
      </c>
      <c r="K3" s="70" t="s">
        <v>4</v>
      </c>
      <c r="L3" s="70" t="s">
        <v>5</v>
      </c>
      <c r="M3" s="35"/>
      <c r="N3" s="71" t="s">
        <v>14</v>
      </c>
      <c r="O3" s="72" t="s">
        <v>109</v>
      </c>
    </row>
    <row r="4" spans="1:15" ht="13" x14ac:dyDescent="0.3">
      <c r="B4" s="184" t="s">
        <v>15</v>
      </c>
      <c r="C4" s="74">
        <v>2000</v>
      </c>
      <c r="D4" s="74">
        <v>1800</v>
      </c>
      <c r="E4" s="74">
        <v>1100</v>
      </c>
      <c r="F4" s="74">
        <v>800</v>
      </c>
      <c r="G4" s="35"/>
      <c r="H4" s="184" t="s">
        <v>15</v>
      </c>
      <c r="I4" s="74">
        <v>1837</v>
      </c>
      <c r="J4" s="74">
        <v>1316</v>
      </c>
      <c r="K4" s="74">
        <v>871</v>
      </c>
      <c r="L4" s="74">
        <v>683</v>
      </c>
      <c r="M4" s="35"/>
      <c r="N4" s="184" t="s">
        <v>15</v>
      </c>
      <c r="O4" s="76">
        <v>750</v>
      </c>
    </row>
    <row r="5" spans="1:15" ht="13" x14ac:dyDescent="0.3">
      <c r="B5" s="184" t="s">
        <v>16</v>
      </c>
      <c r="C5" s="74">
        <v>3000</v>
      </c>
      <c r="D5" s="74">
        <v>2600</v>
      </c>
      <c r="E5" s="74">
        <v>1600</v>
      </c>
      <c r="F5" s="74">
        <v>1100</v>
      </c>
      <c r="G5" s="35"/>
      <c r="H5" s="184" t="s">
        <v>16</v>
      </c>
      <c r="I5" s="74">
        <v>3398</v>
      </c>
      <c r="J5" s="74">
        <v>2790</v>
      </c>
      <c r="K5" s="74">
        <v>1571</v>
      </c>
      <c r="L5" s="74">
        <v>1246</v>
      </c>
      <c r="M5" s="35"/>
      <c r="N5" s="184" t="s">
        <v>16</v>
      </c>
      <c r="O5" s="76">
        <v>650</v>
      </c>
    </row>
    <row r="6" spans="1:15" ht="13" x14ac:dyDescent="0.3">
      <c r="B6" s="184" t="s">
        <v>103</v>
      </c>
      <c r="C6" s="74">
        <v>800</v>
      </c>
      <c r="D6" s="74">
        <v>700</v>
      </c>
      <c r="E6" s="74">
        <v>500</v>
      </c>
      <c r="F6" s="74">
        <v>300</v>
      </c>
      <c r="G6" s="35"/>
      <c r="H6" s="184" t="s">
        <v>103</v>
      </c>
      <c r="I6" s="74">
        <v>884</v>
      </c>
      <c r="J6" s="74">
        <v>542</v>
      </c>
      <c r="K6" s="74">
        <v>516</v>
      </c>
      <c r="L6" s="74">
        <v>640</v>
      </c>
      <c r="M6" s="35"/>
      <c r="N6" s="184" t="s">
        <v>103</v>
      </c>
      <c r="O6" s="76">
        <v>850</v>
      </c>
    </row>
    <row r="7" spans="1:15" ht="13" x14ac:dyDescent="0.3">
      <c r="B7" s="184" t="s">
        <v>17</v>
      </c>
      <c r="C7" s="74">
        <v>2400</v>
      </c>
      <c r="D7" s="74">
        <v>2100</v>
      </c>
      <c r="E7" s="74">
        <v>1300</v>
      </c>
      <c r="F7" s="74">
        <v>900</v>
      </c>
      <c r="G7" s="35"/>
      <c r="H7" s="184" t="s">
        <v>17</v>
      </c>
      <c r="I7" s="74">
        <v>2487</v>
      </c>
      <c r="J7" s="74">
        <v>1968</v>
      </c>
      <c r="K7" s="74">
        <v>1255</v>
      </c>
      <c r="L7" s="74">
        <v>1150</v>
      </c>
      <c r="M7" s="35"/>
      <c r="N7" s="184" t="s">
        <v>17</v>
      </c>
      <c r="O7" s="76">
        <v>400</v>
      </c>
    </row>
    <row r="8" spans="1:15" ht="13" x14ac:dyDescent="0.3">
      <c r="B8" s="184" t="s">
        <v>18</v>
      </c>
      <c r="C8" s="74">
        <v>1400</v>
      </c>
      <c r="D8" s="74">
        <v>1200</v>
      </c>
      <c r="E8" s="74">
        <v>800</v>
      </c>
      <c r="F8" s="74">
        <v>500</v>
      </c>
      <c r="G8" s="35"/>
      <c r="H8" s="184" t="s">
        <v>18</v>
      </c>
      <c r="I8" s="74">
        <v>1712</v>
      </c>
      <c r="J8" s="74">
        <v>1364</v>
      </c>
      <c r="K8" s="74">
        <v>714</v>
      </c>
      <c r="L8" s="74">
        <v>686</v>
      </c>
      <c r="M8" s="35"/>
      <c r="N8" s="184" t="s">
        <v>18</v>
      </c>
      <c r="O8" s="76">
        <v>700</v>
      </c>
    </row>
    <row r="9" spans="1:15" ht="13" x14ac:dyDescent="0.3">
      <c r="B9" s="184" t="s">
        <v>104</v>
      </c>
      <c r="C9" s="74">
        <v>2000</v>
      </c>
      <c r="D9" s="74">
        <v>1800</v>
      </c>
      <c r="E9" s="74">
        <v>1100</v>
      </c>
      <c r="F9" s="74">
        <v>800</v>
      </c>
      <c r="G9" s="35"/>
      <c r="H9" s="184" t="s">
        <v>104</v>
      </c>
      <c r="I9" s="74">
        <v>2238</v>
      </c>
      <c r="J9" s="74">
        <v>1709</v>
      </c>
      <c r="K9" s="74">
        <v>1104</v>
      </c>
      <c r="L9" s="74">
        <v>972</v>
      </c>
      <c r="M9" s="35"/>
      <c r="N9" s="184" t="s">
        <v>104</v>
      </c>
      <c r="O9" s="76">
        <v>800</v>
      </c>
    </row>
    <row r="10" spans="1:15" ht="13" x14ac:dyDescent="0.3">
      <c r="B10" s="184" t="s">
        <v>105</v>
      </c>
      <c r="C10" s="74">
        <v>1900</v>
      </c>
      <c r="D10" s="74">
        <v>1700</v>
      </c>
      <c r="E10" s="74">
        <v>1000</v>
      </c>
      <c r="F10" s="74">
        <v>700</v>
      </c>
      <c r="G10" s="35"/>
      <c r="H10" s="184" t="s">
        <v>105</v>
      </c>
      <c r="I10" s="74">
        <v>2281</v>
      </c>
      <c r="J10" s="74">
        <v>1729</v>
      </c>
      <c r="K10" s="74">
        <v>1121</v>
      </c>
      <c r="L10" s="74">
        <v>914</v>
      </c>
      <c r="M10" s="35"/>
      <c r="N10" s="184" t="s">
        <v>105</v>
      </c>
      <c r="O10" s="76">
        <v>480</v>
      </c>
    </row>
    <row r="11" spans="1:15" x14ac:dyDescent="0.25">
      <c r="B11" s="35" t="s">
        <v>20</v>
      </c>
      <c r="C11" s="35"/>
      <c r="D11" s="35"/>
      <c r="E11" s="35"/>
      <c r="F11" s="35"/>
      <c r="G11" s="35"/>
      <c r="H11" s="35"/>
      <c r="I11" s="35"/>
      <c r="J11" s="35"/>
      <c r="K11" s="35"/>
      <c r="L11" s="35"/>
      <c r="M11" s="35"/>
      <c r="N11" s="35"/>
      <c r="O11" s="35"/>
    </row>
    <row r="12" spans="1:15" x14ac:dyDescent="0.25">
      <c r="B12" s="35"/>
      <c r="C12" s="35"/>
      <c r="D12" s="35"/>
      <c r="E12" s="35"/>
      <c r="F12" s="35"/>
      <c r="G12" s="35"/>
      <c r="H12" s="35"/>
      <c r="I12" s="35"/>
      <c r="J12" s="35"/>
      <c r="K12" s="35"/>
      <c r="L12" s="35"/>
      <c r="M12" s="35"/>
      <c r="N12" s="35"/>
      <c r="O12" s="35"/>
    </row>
    <row r="13" spans="1:15" ht="13" x14ac:dyDescent="0.3">
      <c r="B13" s="6" t="s">
        <v>160</v>
      </c>
      <c r="C13" s="6"/>
      <c r="D13" s="6"/>
      <c r="E13" s="282">
        <f>'Omega Pty Ltd'!U6</f>
        <v>2020</v>
      </c>
      <c r="F13" s="6"/>
      <c r="G13" s="35"/>
      <c r="H13" s="6" t="s">
        <v>161</v>
      </c>
      <c r="I13" s="6"/>
      <c r="J13" s="6"/>
      <c r="K13" s="282">
        <f>E13</f>
        <v>2020</v>
      </c>
      <c r="L13" s="200"/>
      <c r="M13" s="35"/>
      <c r="N13" s="35"/>
      <c r="O13" s="35"/>
    </row>
    <row r="14" spans="1:15" ht="13.5" x14ac:dyDescent="0.35">
      <c r="B14" s="69" t="s">
        <v>14</v>
      </c>
      <c r="C14" s="70" t="s">
        <v>2</v>
      </c>
      <c r="D14" s="70" t="s">
        <v>3</v>
      </c>
      <c r="E14" s="70" t="s">
        <v>4</v>
      </c>
      <c r="F14" s="70" t="s">
        <v>5</v>
      </c>
      <c r="G14" s="35"/>
      <c r="H14" s="69" t="s">
        <v>14</v>
      </c>
      <c r="I14" s="70" t="s">
        <v>2</v>
      </c>
      <c r="J14" s="70" t="s">
        <v>3</v>
      </c>
      <c r="K14" s="70" t="s">
        <v>4</v>
      </c>
      <c r="L14" s="70" t="s">
        <v>5</v>
      </c>
      <c r="M14" s="35"/>
      <c r="N14" s="35"/>
      <c r="O14" s="35"/>
    </row>
    <row r="15" spans="1:15" ht="13" x14ac:dyDescent="0.3">
      <c r="B15" s="184" t="s">
        <v>15</v>
      </c>
      <c r="C15" s="74">
        <v>2000</v>
      </c>
      <c r="D15" s="74">
        <v>1600</v>
      </c>
      <c r="E15" s="74">
        <v>1100</v>
      </c>
      <c r="F15" s="74">
        <v>900</v>
      </c>
      <c r="G15" s="35"/>
      <c r="H15" s="184" t="s">
        <v>15</v>
      </c>
      <c r="I15" s="74">
        <v>1928</v>
      </c>
      <c r="J15" s="74">
        <v>1512</v>
      </c>
      <c r="K15" s="74">
        <v>1116</v>
      </c>
      <c r="L15" s="74">
        <v>1073</v>
      </c>
      <c r="M15" s="35"/>
      <c r="N15" s="35"/>
      <c r="O15" s="35"/>
    </row>
    <row r="16" spans="1:15" ht="13" x14ac:dyDescent="0.3">
      <c r="B16" s="184" t="s">
        <v>16</v>
      </c>
      <c r="C16" s="74">
        <v>3000</v>
      </c>
      <c r="D16" s="74">
        <v>2300</v>
      </c>
      <c r="E16" s="74">
        <v>1600</v>
      </c>
      <c r="F16" s="74">
        <v>1300</v>
      </c>
      <c r="G16" s="35"/>
      <c r="H16" s="184" t="s">
        <v>16</v>
      </c>
      <c r="I16" s="74">
        <v>3088</v>
      </c>
      <c r="J16" s="74">
        <v>2260</v>
      </c>
      <c r="K16" s="74">
        <v>1710</v>
      </c>
      <c r="L16" s="74">
        <v>1455</v>
      </c>
      <c r="M16" s="35"/>
      <c r="N16" s="35"/>
      <c r="O16" s="35"/>
    </row>
    <row r="17" spans="2:15" ht="13" x14ac:dyDescent="0.3">
      <c r="B17" s="184" t="s">
        <v>103</v>
      </c>
      <c r="C17" s="74">
        <v>800</v>
      </c>
      <c r="D17" s="74">
        <v>700</v>
      </c>
      <c r="E17" s="74">
        <v>500</v>
      </c>
      <c r="F17" s="74">
        <v>400</v>
      </c>
      <c r="G17" s="35"/>
      <c r="H17" s="184" t="s">
        <v>103</v>
      </c>
      <c r="I17" s="74">
        <v>769</v>
      </c>
      <c r="J17" s="74">
        <v>679</v>
      </c>
      <c r="K17" s="74">
        <v>589</v>
      </c>
      <c r="L17" s="74">
        <v>601</v>
      </c>
      <c r="M17" s="35"/>
      <c r="N17" s="35"/>
      <c r="O17" s="35"/>
    </row>
    <row r="18" spans="2:15" ht="13" x14ac:dyDescent="0.3">
      <c r="B18" s="184" t="s">
        <v>17</v>
      </c>
      <c r="C18" s="74">
        <v>2400</v>
      </c>
      <c r="D18" s="74">
        <v>1900</v>
      </c>
      <c r="E18" s="74">
        <v>1300</v>
      </c>
      <c r="F18" s="74">
        <v>1000</v>
      </c>
      <c r="G18" s="35"/>
      <c r="H18" s="184" t="s">
        <v>17</v>
      </c>
      <c r="I18" s="74">
        <v>2740</v>
      </c>
      <c r="J18" s="74">
        <v>1927</v>
      </c>
      <c r="K18" s="74">
        <v>1310</v>
      </c>
      <c r="L18" s="74">
        <v>1066</v>
      </c>
      <c r="M18" s="35"/>
      <c r="N18" s="35"/>
      <c r="O18" s="35"/>
    </row>
    <row r="19" spans="2:15" ht="13" x14ac:dyDescent="0.3">
      <c r="B19" s="184" t="s">
        <v>18</v>
      </c>
      <c r="C19" s="74">
        <v>1400</v>
      </c>
      <c r="D19" s="74">
        <v>1100</v>
      </c>
      <c r="E19" s="74">
        <v>800</v>
      </c>
      <c r="F19" s="74">
        <v>600</v>
      </c>
      <c r="G19" s="35"/>
      <c r="H19" s="184" t="s">
        <v>18</v>
      </c>
      <c r="I19" s="74">
        <v>1655</v>
      </c>
      <c r="J19" s="74">
        <v>1057</v>
      </c>
      <c r="K19" s="74">
        <v>768</v>
      </c>
      <c r="L19" s="74">
        <v>779</v>
      </c>
      <c r="M19" s="35"/>
      <c r="N19" s="35"/>
      <c r="O19" s="35"/>
    </row>
    <row r="20" spans="2:15" ht="13" x14ac:dyDescent="0.3">
      <c r="B20" s="184" t="s">
        <v>104</v>
      </c>
      <c r="C20" s="74">
        <v>2000</v>
      </c>
      <c r="D20" s="74">
        <v>1600</v>
      </c>
      <c r="E20" s="74">
        <v>1100</v>
      </c>
      <c r="F20" s="74">
        <v>900</v>
      </c>
      <c r="G20" s="35"/>
      <c r="H20" s="184" t="s">
        <v>104</v>
      </c>
      <c r="I20" s="74">
        <v>2381</v>
      </c>
      <c r="J20" s="74">
        <v>1579</v>
      </c>
      <c r="K20" s="74">
        <v>1200</v>
      </c>
      <c r="L20" s="74">
        <v>1123</v>
      </c>
      <c r="M20" s="35"/>
      <c r="N20" s="35"/>
      <c r="O20" s="35"/>
    </row>
    <row r="21" spans="2:15" ht="13" x14ac:dyDescent="0.3">
      <c r="B21" s="184" t="s">
        <v>105</v>
      </c>
      <c r="C21" s="74">
        <v>1900</v>
      </c>
      <c r="D21" s="74">
        <v>1500</v>
      </c>
      <c r="E21" s="74">
        <v>1100</v>
      </c>
      <c r="F21" s="74">
        <v>800</v>
      </c>
      <c r="G21" s="35"/>
      <c r="H21" s="184" t="s">
        <v>105</v>
      </c>
      <c r="I21" s="74">
        <v>2289</v>
      </c>
      <c r="J21" s="74">
        <v>1564</v>
      </c>
      <c r="K21" s="74">
        <v>1201</v>
      </c>
      <c r="L21" s="74">
        <v>884</v>
      </c>
      <c r="M21" s="35"/>
      <c r="N21" s="35"/>
      <c r="O21" s="35"/>
    </row>
    <row r="22" spans="2:15" x14ac:dyDescent="0.25">
      <c r="B22" s="35"/>
      <c r="C22" s="35"/>
      <c r="D22" s="35"/>
      <c r="E22" s="35"/>
      <c r="F22" s="35"/>
      <c r="G22" s="35"/>
      <c r="H22" s="35"/>
      <c r="I22" s="35"/>
      <c r="J22" s="35"/>
      <c r="K22" s="35"/>
      <c r="L22" s="35"/>
      <c r="M22" s="35"/>
      <c r="N22" s="35"/>
      <c r="O22" s="35"/>
    </row>
    <row r="23" spans="2:15" x14ac:dyDescent="0.25">
      <c r="B23" s="35"/>
      <c r="C23" s="35"/>
      <c r="D23" s="35"/>
      <c r="E23" s="35"/>
      <c r="F23" s="35"/>
      <c r="G23" s="35"/>
      <c r="H23" s="35"/>
      <c r="I23" s="35"/>
      <c r="J23" s="35"/>
      <c r="K23" s="35"/>
      <c r="L23" s="35"/>
      <c r="M23" s="35"/>
      <c r="N23" s="35"/>
      <c r="O23" s="35"/>
    </row>
    <row r="24" spans="2:15" ht="13" x14ac:dyDescent="0.3">
      <c r="B24" s="6" t="s">
        <v>160</v>
      </c>
      <c r="C24" s="6"/>
      <c r="D24" s="6"/>
      <c r="E24" s="282">
        <f>'Omega Pty Ltd'!U7</f>
        <v>2021</v>
      </c>
      <c r="F24" s="6"/>
      <c r="G24" s="35"/>
      <c r="H24" s="6" t="s">
        <v>161</v>
      </c>
      <c r="I24" s="6"/>
      <c r="J24" s="6"/>
      <c r="K24" s="282">
        <f>E24</f>
        <v>2021</v>
      </c>
      <c r="L24" s="200"/>
      <c r="M24" s="35"/>
      <c r="N24" s="35"/>
      <c r="O24" s="35"/>
    </row>
    <row r="25" spans="2:15" ht="13.5" x14ac:dyDescent="0.35">
      <c r="B25" s="69" t="s">
        <v>14</v>
      </c>
      <c r="C25" s="70" t="s">
        <v>2</v>
      </c>
      <c r="D25" s="70" t="s">
        <v>3</v>
      </c>
      <c r="E25" s="70" t="s">
        <v>4</v>
      </c>
      <c r="F25" s="70" t="s">
        <v>5</v>
      </c>
      <c r="G25" s="35"/>
      <c r="H25" s="69" t="s">
        <v>14</v>
      </c>
      <c r="I25" s="70" t="s">
        <v>2</v>
      </c>
      <c r="J25" s="70" t="s">
        <v>3</v>
      </c>
      <c r="K25" s="70" t="s">
        <v>4</v>
      </c>
      <c r="L25" s="70" t="s">
        <v>5</v>
      </c>
      <c r="M25" s="35"/>
      <c r="N25" s="35"/>
      <c r="O25" s="35"/>
    </row>
    <row r="26" spans="2:15" ht="13" x14ac:dyDescent="0.3">
      <c r="B26" s="184" t="s">
        <v>15</v>
      </c>
      <c r="C26" s="74">
        <v>2140</v>
      </c>
      <c r="D26" s="74">
        <v>1400</v>
      </c>
      <c r="E26" s="74">
        <v>1300</v>
      </c>
      <c r="F26" s="74">
        <v>1100</v>
      </c>
      <c r="G26" s="35"/>
      <c r="H26" s="184" t="s">
        <v>15</v>
      </c>
      <c r="I26" s="74">
        <v>2396</v>
      </c>
      <c r="J26" s="74">
        <v>1288</v>
      </c>
      <c r="K26" s="74">
        <v>1536</v>
      </c>
      <c r="L26" s="74">
        <v>1249</v>
      </c>
      <c r="M26" s="35"/>
      <c r="N26" s="35"/>
      <c r="O26" s="35"/>
    </row>
    <row r="27" spans="2:15" ht="13" x14ac:dyDescent="0.3">
      <c r="B27" s="184" t="s">
        <v>16</v>
      </c>
      <c r="C27" s="74">
        <v>3210</v>
      </c>
      <c r="D27" s="74">
        <v>2100</v>
      </c>
      <c r="E27" s="74">
        <v>1900</v>
      </c>
      <c r="F27" s="74">
        <v>1700</v>
      </c>
      <c r="G27" s="35"/>
      <c r="H27" s="184" t="s">
        <v>16</v>
      </c>
      <c r="I27" s="74">
        <v>3619</v>
      </c>
      <c r="J27" s="74">
        <v>2086</v>
      </c>
      <c r="K27" s="74">
        <v>2028</v>
      </c>
      <c r="L27" s="74">
        <v>2129</v>
      </c>
      <c r="M27" s="35"/>
      <c r="N27" s="35"/>
      <c r="O27" s="35"/>
    </row>
    <row r="28" spans="2:15" ht="13" x14ac:dyDescent="0.3">
      <c r="B28" s="184" t="s">
        <v>103</v>
      </c>
      <c r="C28" s="74">
        <v>856</v>
      </c>
      <c r="D28" s="74">
        <v>600</v>
      </c>
      <c r="E28" s="74">
        <v>500</v>
      </c>
      <c r="F28" s="74">
        <v>500</v>
      </c>
      <c r="G28" s="35"/>
      <c r="H28" s="184" t="s">
        <v>103</v>
      </c>
      <c r="I28" s="74">
        <v>878</v>
      </c>
      <c r="J28" s="74">
        <v>424</v>
      </c>
      <c r="K28" s="74">
        <v>467</v>
      </c>
      <c r="L28" s="74">
        <v>665</v>
      </c>
      <c r="M28" s="35"/>
      <c r="N28" s="35"/>
      <c r="O28" s="35"/>
    </row>
    <row r="29" spans="2:15" ht="13" x14ac:dyDescent="0.3">
      <c r="B29" s="184" t="s">
        <v>17</v>
      </c>
      <c r="C29" s="74">
        <v>2568</v>
      </c>
      <c r="D29" s="74">
        <v>1700</v>
      </c>
      <c r="E29" s="74">
        <v>1500</v>
      </c>
      <c r="F29" s="74">
        <v>1300</v>
      </c>
      <c r="G29" s="35"/>
      <c r="H29" s="184" t="s">
        <v>17</v>
      </c>
      <c r="I29" s="74">
        <v>2656</v>
      </c>
      <c r="J29" s="74">
        <v>1642</v>
      </c>
      <c r="K29" s="74">
        <v>1729</v>
      </c>
      <c r="L29" s="74">
        <v>1360</v>
      </c>
      <c r="M29" s="35"/>
      <c r="N29" s="35"/>
      <c r="O29" s="35"/>
    </row>
    <row r="30" spans="2:15" ht="13" x14ac:dyDescent="0.3">
      <c r="B30" s="184" t="s">
        <v>18</v>
      </c>
      <c r="C30" s="74">
        <v>1498</v>
      </c>
      <c r="D30" s="74">
        <v>1000</v>
      </c>
      <c r="E30" s="74">
        <v>900</v>
      </c>
      <c r="F30" s="74">
        <v>800</v>
      </c>
      <c r="G30" s="35"/>
      <c r="H30" s="184" t="s">
        <v>18</v>
      </c>
      <c r="I30" s="74">
        <v>1837</v>
      </c>
      <c r="J30" s="74">
        <v>856</v>
      </c>
      <c r="K30" s="74">
        <v>998</v>
      </c>
      <c r="L30" s="74">
        <v>1267</v>
      </c>
      <c r="M30" s="35"/>
      <c r="N30" s="35"/>
      <c r="O30" s="35"/>
    </row>
    <row r="31" spans="2:15" ht="13" x14ac:dyDescent="0.3">
      <c r="B31" s="184" t="s">
        <v>104</v>
      </c>
      <c r="C31" s="74">
        <v>2140</v>
      </c>
      <c r="D31" s="74">
        <v>1400</v>
      </c>
      <c r="E31" s="74">
        <v>1300</v>
      </c>
      <c r="F31" s="74">
        <v>1100</v>
      </c>
      <c r="G31" s="35"/>
      <c r="H31" s="184" t="s">
        <v>104</v>
      </c>
      <c r="I31" s="74">
        <v>2927</v>
      </c>
      <c r="J31" s="74">
        <v>1462</v>
      </c>
      <c r="K31" s="74">
        <v>1511</v>
      </c>
      <c r="L31" s="74">
        <v>1578</v>
      </c>
      <c r="M31" s="35"/>
      <c r="N31" s="35"/>
      <c r="O31" s="35"/>
    </row>
    <row r="32" spans="2:15" ht="13" x14ac:dyDescent="0.3">
      <c r="B32" s="184" t="s">
        <v>105</v>
      </c>
      <c r="C32" s="74">
        <v>2033</v>
      </c>
      <c r="D32" s="74">
        <v>1400</v>
      </c>
      <c r="E32" s="74">
        <v>1200</v>
      </c>
      <c r="F32" s="74">
        <v>1100</v>
      </c>
      <c r="G32" s="35"/>
      <c r="H32" s="184" t="s">
        <v>105</v>
      </c>
      <c r="I32" s="74">
        <v>2600</v>
      </c>
      <c r="J32" s="74">
        <v>1210</v>
      </c>
      <c r="K32" s="74">
        <v>1347</v>
      </c>
      <c r="L32" s="74">
        <v>1467</v>
      </c>
      <c r="M32" s="35"/>
      <c r="N32" s="35"/>
      <c r="O32" s="35"/>
    </row>
    <row r="33" spans="2:15" x14ac:dyDescent="0.25">
      <c r="B33" s="35"/>
      <c r="C33" s="35"/>
      <c r="D33" s="35"/>
      <c r="E33" s="35"/>
      <c r="F33" s="35"/>
      <c r="G33" s="35"/>
      <c r="H33" s="35"/>
      <c r="I33" s="35"/>
      <c r="J33" s="35"/>
      <c r="K33" s="35"/>
      <c r="L33" s="35"/>
      <c r="M33" s="35"/>
      <c r="N33" s="35"/>
      <c r="O33" s="35"/>
    </row>
    <row r="34" spans="2:15" x14ac:dyDescent="0.25">
      <c r="B34" s="35"/>
      <c r="C34" s="35"/>
      <c r="D34" s="35"/>
      <c r="E34" s="35"/>
      <c r="F34" s="35"/>
      <c r="G34" s="35"/>
      <c r="H34" s="35"/>
      <c r="I34" s="35"/>
      <c r="J34" s="35"/>
      <c r="K34" s="35"/>
      <c r="L34" s="35"/>
      <c r="M34" s="35"/>
      <c r="N34" s="35"/>
      <c r="O34" s="35"/>
    </row>
    <row r="35" spans="2:15" x14ac:dyDescent="0.25">
      <c r="B35" s="35"/>
      <c r="C35" s="35"/>
      <c r="D35" s="35"/>
      <c r="E35" s="35"/>
      <c r="F35" s="35"/>
      <c r="G35" s="35"/>
      <c r="H35" s="35"/>
      <c r="I35" s="35"/>
      <c r="J35" s="35"/>
      <c r="K35" s="35"/>
      <c r="L35" s="35"/>
      <c r="M35" s="35"/>
      <c r="N35" s="35"/>
      <c r="O35" s="35"/>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sheetPr>
  <dimension ref="B2:S33"/>
  <sheetViews>
    <sheetView topLeftCell="A36" zoomScale="74" zoomScaleNormal="74" workbookViewId="0">
      <selection activeCell="V20" sqref="V20"/>
    </sheetView>
  </sheetViews>
  <sheetFormatPr defaultRowHeight="12.5" x14ac:dyDescent="0.25"/>
  <cols>
    <col min="2" max="2" width="11.1796875" customWidth="1"/>
  </cols>
  <sheetData>
    <row r="2" spans="2:19" ht="17.5" x14ac:dyDescent="0.35">
      <c r="B2" s="33"/>
    </row>
    <row r="4" spans="2:19" ht="17.5" x14ac:dyDescent="0.35">
      <c r="N4" s="1"/>
      <c r="O4" s="7"/>
      <c r="P4" s="7"/>
      <c r="Q4" s="7"/>
      <c r="R4" s="7"/>
      <c r="S4" s="6"/>
    </row>
    <row r="5" spans="2:19" x14ac:dyDescent="0.25">
      <c r="B5" s="35"/>
      <c r="C5" s="36"/>
      <c r="D5" s="35"/>
    </row>
    <row r="6" spans="2:19" ht="17.5" x14ac:dyDescent="0.35">
      <c r="O6" s="3"/>
    </row>
    <row r="7" spans="2:19" x14ac:dyDescent="0.25">
      <c r="B7" s="35"/>
      <c r="C7" s="36"/>
      <c r="D7" s="35"/>
    </row>
    <row r="8" spans="2:19" ht="17.5" x14ac:dyDescent="0.35">
      <c r="O8" s="7"/>
    </row>
    <row r="9" spans="2:19" x14ac:dyDescent="0.25">
      <c r="C9" s="36"/>
    </row>
    <row r="10" spans="2:19" ht="17.5" x14ac:dyDescent="0.35">
      <c r="O10" s="3"/>
    </row>
    <row r="11" spans="2:19" x14ac:dyDescent="0.25">
      <c r="C11" s="36"/>
    </row>
    <row r="12" spans="2:19" ht="17.5" x14ac:dyDescent="0.35">
      <c r="O12" s="7"/>
    </row>
    <row r="13" spans="2:19" x14ac:dyDescent="0.25">
      <c r="C13" s="36"/>
    </row>
    <row r="14" spans="2:19" ht="17.5" x14ac:dyDescent="0.35">
      <c r="O14" s="7"/>
    </row>
    <row r="15" spans="2:19" x14ac:dyDescent="0.25">
      <c r="C15" s="36"/>
    </row>
    <row r="17" spans="3:15" x14ac:dyDescent="0.25">
      <c r="C17" s="36"/>
    </row>
    <row r="18" spans="3:15" x14ac:dyDescent="0.25">
      <c r="O18" s="35"/>
    </row>
    <row r="19" spans="3:15" x14ac:dyDescent="0.25">
      <c r="C19" s="36"/>
    </row>
    <row r="21" spans="3:15" x14ac:dyDescent="0.25">
      <c r="C21" s="36"/>
    </row>
    <row r="23" spans="3:15" x14ac:dyDescent="0.25">
      <c r="C23" s="36"/>
    </row>
    <row r="25" spans="3:15" x14ac:dyDescent="0.25">
      <c r="C25" s="36"/>
    </row>
    <row r="27" spans="3:15" x14ac:dyDescent="0.25">
      <c r="C27" s="36"/>
    </row>
    <row r="29" spans="3:15" x14ac:dyDescent="0.25">
      <c r="C29" s="36"/>
    </row>
    <row r="31" spans="3:15" x14ac:dyDescent="0.25">
      <c r="C31" s="36"/>
    </row>
    <row r="33" spans="3:3" x14ac:dyDescent="0.25">
      <c r="C33" s="36"/>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2" tint="-0.499984740745262"/>
  </sheetPr>
  <dimension ref="D3:V9"/>
  <sheetViews>
    <sheetView topLeftCell="C5" zoomScale="94" zoomScaleNormal="94" workbookViewId="0">
      <selection activeCell="R14" sqref="R14"/>
    </sheetView>
  </sheetViews>
  <sheetFormatPr defaultRowHeight="12.5" x14ac:dyDescent="0.25"/>
  <sheetData>
    <row r="3" spans="4:22" ht="23.5" x14ac:dyDescent="0.25">
      <c r="D3" s="67" t="s">
        <v>97</v>
      </c>
    </row>
    <row r="5" spans="4:22" ht="21" x14ac:dyDescent="0.25">
      <c r="D5" s="331" t="s">
        <v>98</v>
      </c>
      <c r="E5" s="331"/>
      <c r="F5" s="331"/>
      <c r="G5" s="331"/>
      <c r="H5" s="331"/>
      <c r="I5" s="331"/>
      <c r="J5" s="331"/>
      <c r="K5" s="331"/>
      <c r="L5" s="331"/>
      <c r="M5" s="331"/>
      <c r="N5" s="331"/>
      <c r="O5" s="331"/>
      <c r="P5" s="331"/>
      <c r="Q5" s="331"/>
      <c r="R5" s="331"/>
      <c r="S5" s="331"/>
      <c r="T5" s="331"/>
      <c r="U5" s="331"/>
      <c r="V5" s="331"/>
    </row>
    <row r="9" spans="4:22" ht="14.5" x14ac:dyDescent="0.35">
      <c r="S9" s="307"/>
    </row>
  </sheetData>
  <mergeCells count="1">
    <mergeCell ref="D5:V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2" tint="-0.499984740745262"/>
  </sheetPr>
  <dimension ref="B45"/>
  <sheetViews>
    <sheetView topLeftCell="I12" zoomScale="111" zoomScaleNormal="98" workbookViewId="0">
      <selection activeCell="J24" sqref="J24"/>
    </sheetView>
  </sheetViews>
  <sheetFormatPr defaultRowHeight="12.5" x14ac:dyDescent="0.25"/>
  <sheetData>
    <row r="45" spans="2:2" x14ac:dyDescent="0.25">
      <c r="B45" s="35"/>
    </row>
  </sheetData>
  <pageMargins left="0.7" right="0.7" top="0.75" bottom="0.75" header="0.3" footer="0.3"/>
  <pageSetup paperSize="9" orientation="portrait" horizontalDpi="300"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59999389629810485"/>
  </sheetPr>
  <dimension ref="B1:P42"/>
  <sheetViews>
    <sheetView zoomScale="95" zoomScaleNormal="95" workbookViewId="0">
      <selection activeCell="G16" sqref="G16"/>
    </sheetView>
  </sheetViews>
  <sheetFormatPr defaultRowHeight="12.5" x14ac:dyDescent="0.25"/>
  <cols>
    <col min="2" max="2" width="15.54296875" customWidth="1"/>
    <col min="3" max="3" width="14.453125" customWidth="1"/>
    <col min="4" max="4" width="14.81640625" customWidth="1"/>
    <col min="5" max="5" width="12.7265625" customWidth="1"/>
    <col min="6" max="6" width="14.81640625" customWidth="1"/>
    <col min="7" max="7" width="16.1796875" customWidth="1"/>
    <col min="8" max="8" width="13.26953125" customWidth="1"/>
    <col min="9" max="9" width="14.26953125" customWidth="1"/>
    <col min="10" max="10" width="12.81640625" customWidth="1"/>
    <col min="12" max="12" width="15.54296875" customWidth="1"/>
    <col min="13" max="13" width="19.1796875" customWidth="1"/>
    <col min="14" max="15" width="10.81640625" customWidth="1"/>
    <col min="16" max="16" width="12.453125" customWidth="1"/>
    <col min="17" max="17" width="11.1796875" customWidth="1"/>
    <col min="18" max="18" width="9" customWidth="1"/>
    <col min="19" max="19" width="10.26953125" customWidth="1"/>
    <col min="20" max="20" width="10.1796875" customWidth="1"/>
    <col min="21" max="21" width="11.1796875" bestFit="1" customWidth="1"/>
    <col min="22" max="22" width="9" customWidth="1"/>
    <col min="23" max="23" width="10.26953125" customWidth="1"/>
    <col min="24" max="24" width="10.1796875" customWidth="1"/>
    <col min="25" max="25" width="11.7265625" bestFit="1" customWidth="1"/>
    <col min="26" max="26" width="10.7265625" bestFit="1" customWidth="1"/>
    <col min="27" max="27" width="15.54296875" bestFit="1" customWidth="1"/>
    <col min="28" max="28" width="11.7265625" bestFit="1" customWidth="1"/>
  </cols>
  <sheetData>
    <row r="1" spans="2:16" ht="15.5" x14ac:dyDescent="0.35">
      <c r="B1" s="101" t="s">
        <v>215</v>
      </c>
    </row>
    <row r="4" spans="2:16" ht="18" thickBot="1" x14ac:dyDescent="0.4">
      <c r="B4" s="4" t="s">
        <v>0</v>
      </c>
      <c r="C4" s="5"/>
      <c r="D4" s="1"/>
      <c r="E4" s="1"/>
      <c r="F4" s="1"/>
      <c r="H4" s="3" t="s">
        <v>79</v>
      </c>
      <c r="I4" s="3"/>
      <c r="J4" s="3"/>
      <c r="K4" s="3"/>
    </row>
    <row r="5" spans="2:16" ht="15.5" x14ac:dyDescent="0.35">
      <c r="B5" s="9" t="s">
        <v>1</v>
      </c>
      <c r="C5" s="10" t="s">
        <v>2</v>
      </c>
      <c r="D5" s="10" t="s">
        <v>3</v>
      </c>
      <c r="E5" s="10" t="s">
        <v>4</v>
      </c>
      <c r="F5" s="11" t="s">
        <v>5</v>
      </c>
      <c r="H5" s="9" t="s">
        <v>1</v>
      </c>
      <c r="I5" s="165">
        <f>C13</f>
        <v>2019</v>
      </c>
      <c r="J5" s="165">
        <f t="shared" ref="J5:K5" si="0">D13</f>
        <v>2020</v>
      </c>
      <c r="K5" s="165">
        <f t="shared" si="0"/>
        <v>2021</v>
      </c>
    </row>
    <row r="6" spans="2:16" ht="15.5" x14ac:dyDescent="0.35">
      <c r="B6" s="12" t="s">
        <v>6</v>
      </c>
      <c r="C6" s="8">
        <f>Costs!C4</f>
        <v>1</v>
      </c>
      <c r="D6" s="8">
        <f>Costs!D4</f>
        <v>1</v>
      </c>
      <c r="E6" s="8">
        <f>Costs!E4</f>
        <v>1</v>
      </c>
      <c r="F6" s="8">
        <f>Costs!F4</f>
        <v>1</v>
      </c>
      <c r="H6" s="12" t="s">
        <v>6</v>
      </c>
      <c r="I6" s="17">
        <f>Costs!C12</f>
        <v>75000</v>
      </c>
      <c r="J6" s="17">
        <f>Costs!D12</f>
        <v>78000</v>
      </c>
      <c r="K6" s="17">
        <f>Costs!E12</f>
        <v>80000</v>
      </c>
    </row>
    <row r="7" spans="2:16" ht="15.5" x14ac:dyDescent="0.35">
      <c r="B7" s="12" t="s">
        <v>7</v>
      </c>
      <c r="C7" s="8">
        <f>Costs!C5</f>
        <v>2</v>
      </c>
      <c r="D7" s="8">
        <f>Costs!D5</f>
        <v>2</v>
      </c>
      <c r="E7" s="8">
        <f>Costs!E5</f>
        <v>1</v>
      </c>
      <c r="F7" s="8">
        <f>Costs!F5</f>
        <v>1</v>
      </c>
      <c r="H7" s="12" t="s">
        <v>7</v>
      </c>
      <c r="I7" s="17">
        <f>Costs!C13</f>
        <v>40000</v>
      </c>
      <c r="J7" s="17">
        <f>Costs!D13</f>
        <v>41000</v>
      </c>
      <c r="K7" s="17">
        <f>Costs!E13</f>
        <v>42000</v>
      </c>
    </row>
    <row r="8" spans="2:16" ht="16" thickBot="1" x14ac:dyDescent="0.4">
      <c r="B8" s="13" t="s">
        <v>8</v>
      </c>
      <c r="C8" s="8">
        <f>Costs!C6</f>
        <v>10</v>
      </c>
      <c r="D8" s="8">
        <f>Costs!D6</f>
        <v>9</v>
      </c>
      <c r="E8" s="8">
        <f>Costs!E6</f>
        <v>5</v>
      </c>
      <c r="F8" s="8">
        <f>Costs!F6</f>
        <v>4</v>
      </c>
      <c r="H8" s="13" t="s">
        <v>8</v>
      </c>
      <c r="I8" s="17">
        <f>Costs!C14</f>
        <v>58000</v>
      </c>
      <c r="J8" s="17">
        <f>Costs!D14</f>
        <v>60000</v>
      </c>
      <c r="K8" s="17">
        <f>Costs!E14</f>
        <v>63000</v>
      </c>
    </row>
    <row r="12" spans="2:16" ht="18" thickBot="1" x14ac:dyDescent="0.4">
      <c r="B12" s="4" t="s">
        <v>75</v>
      </c>
      <c r="G12" s="4" t="s">
        <v>76</v>
      </c>
    </row>
    <row r="13" spans="2:16" ht="15.5" x14ac:dyDescent="0.35">
      <c r="B13" s="9" t="s">
        <v>1</v>
      </c>
      <c r="C13" s="166">
        <f>'Omega Pty Ltd'!U5</f>
        <v>2019</v>
      </c>
      <c r="D13" s="166">
        <f>'Omega Pty Ltd'!U6</f>
        <v>2020</v>
      </c>
      <c r="E13" s="167">
        <f>'Omega Pty Ltd'!U7</f>
        <v>2021</v>
      </c>
      <c r="G13" s="9" t="s">
        <v>1</v>
      </c>
      <c r="H13" s="165">
        <f>C13</f>
        <v>2019</v>
      </c>
      <c r="I13" s="165">
        <f>D13</f>
        <v>2020</v>
      </c>
      <c r="J13" s="168">
        <f>E13</f>
        <v>2021</v>
      </c>
    </row>
    <row r="14" spans="2:16" ht="15.5" x14ac:dyDescent="0.35">
      <c r="B14" s="12" t="s">
        <v>6</v>
      </c>
      <c r="C14" s="17">
        <f>$C$6*I6</f>
        <v>75000</v>
      </c>
      <c r="D14" s="17">
        <f>$C$6*J6</f>
        <v>78000</v>
      </c>
      <c r="E14" s="17">
        <f t="shared" ref="E14" si="1">$C$6*K6</f>
        <v>80000</v>
      </c>
      <c r="G14" s="12" t="s">
        <v>6</v>
      </c>
      <c r="H14" s="17">
        <f>$D$6*I6</f>
        <v>75000</v>
      </c>
      <c r="I14" s="17">
        <f t="shared" ref="I14:J14" si="2">$D$6*J6</f>
        <v>78000</v>
      </c>
      <c r="J14" s="17">
        <f t="shared" si="2"/>
        <v>80000</v>
      </c>
      <c r="L14" s="37"/>
      <c r="M14" s="38"/>
      <c r="N14" s="38"/>
      <c r="O14" s="38"/>
      <c r="P14" s="38"/>
    </row>
    <row r="15" spans="2:16" ht="15.5" x14ac:dyDescent="0.35">
      <c r="B15" s="12" t="s">
        <v>7</v>
      </c>
      <c r="C15" s="17">
        <f>$C$7*I7</f>
        <v>80000</v>
      </c>
      <c r="D15" s="17">
        <f t="shared" ref="D15:E15" si="3">$C$7*J7</f>
        <v>82000</v>
      </c>
      <c r="E15" s="17">
        <f t="shared" si="3"/>
        <v>84000</v>
      </c>
      <c r="G15" s="12" t="s">
        <v>7</v>
      </c>
      <c r="H15" s="17">
        <f>$D$7*I7</f>
        <v>80000</v>
      </c>
      <c r="I15" s="17">
        <f t="shared" ref="I15:J15" si="4">$D$7*J7</f>
        <v>82000</v>
      </c>
      <c r="J15" s="17">
        <f t="shared" si="4"/>
        <v>84000</v>
      </c>
      <c r="L15" s="37"/>
      <c r="M15" s="38"/>
      <c r="N15" s="38"/>
      <c r="O15" s="38"/>
      <c r="P15" s="38"/>
    </row>
    <row r="16" spans="2:16" ht="16" thickBot="1" x14ac:dyDescent="0.4">
      <c r="B16" s="13" t="s">
        <v>8</v>
      </c>
      <c r="C16" s="17">
        <f>$C$8*I8</f>
        <v>580000</v>
      </c>
      <c r="D16" s="17">
        <f>$C$8*J8</f>
        <v>600000</v>
      </c>
      <c r="E16" s="17">
        <f t="shared" ref="E16" si="5">$C$8*K8</f>
        <v>630000</v>
      </c>
      <c r="G16" s="13" t="s">
        <v>8</v>
      </c>
      <c r="H16" s="17">
        <f>$D$8*I8</f>
        <v>522000</v>
      </c>
      <c r="I16" s="17">
        <f t="shared" ref="I16:J16" si="6">$D$8*J8</f>
        <v>540000</v>
      </c>
      <c r="J16" s="17">
        <f t="shared" si="6"/>
        <v>567000</v>
      </c>
      <c r="L16" s="37"/>
      <c r="M16" s="38"/>
      <c r="N16" s="38"/>
      <c r="O16" s="38"/>
      <c r="P16" s="38"/>
    </row>
    <row r="17" spans="2:16" x14ac:dyDescent="0.25">
      <c r="L17" s="37"/>
      <c r="M17" s="38"/>
      <c r="N17" s="38"/>
      <c r="O17" s="38"/>
      <c r="P17" s="38"/>
    </row>
    <row r="20" spans="2:16" ht="18" thickBot="1" x14ac:dyDescent="0.4">
      <c r="B20" s="4" t="s">
        <v>77</v>
      </c>
      <c r="G20" s="4" t="s">
        <v>78</v>
      </c>
    </row>
    <row r="21" spans="2:16" ht="15.5" x14ac:dyDescent="0.35">
      <c r="B21" s="9" t="s">
        <v>1</v>
      </c>
      <c r="C21" s="166">
        <f>C13</f>
        <v>2019</v>
      </c>
      <c r="D21" s="166">
        <f>D13</f>
        <v>2020</v>
      </c>
      <c r="E21" s="167">
        <f>E13</f>
        <v>2021</v>
      </c>
      <c r="G21" s="9" t="s">
        <v>1</v>
      </c>
      <c r="H21" s="165">
        <f>C13</f>
        <v>2019</v>
      </c>
      <c r="I21" s="165">
        <f>D13</f>
        <v>2020</v>
      </c>
      <c r="J21" s="168">
        <f>E13</f>
        <v>2021</v>
      </c>
    </row>
    <row r="22" spans="2:16" ht="15.5" x14ac:dyDescent="0.35">
      <c r="B22" s="12" t="s">
        <v>6</v>
      </c>
      <c r="C22" s="17">
        <f>$E$6*I6</f>
        <v>75000</v>
      </c>
      <c r="D22" s="17">
        <f>$E$6*J6</f>
        <v>78000</v>
      </c>
      <c r="E22" s="17">
        <f>$E$6*K6</f>
        <v>80000</v>
      </c>
      <c r="G22" s="12" t="s">
        <v>6</v>
      </c>
      <c r="H22" s="17">
        <f>$F$6*I6</f>
        <v>75000</v>
      </c>
      <c r="I22" s="17">
        <f t="shared" ref="I22:J22" si="7">$F$6*J6</f>
        <v>78000</v>
      </c>
      <c r="J22" s="17">
        <f t="shared" si="7"/>
        <v>80000</v>
      </c>
    </row>
    <row r="23" spans="2:16" ht="15.5" x14ac:dyDescent="0.35">
      <c r="B23" s="12" t="s">
        <v>7</v>
      </c>
      <c r="C23" s="17">
        <f>$E$7*I7</f>
        <v>40000</v>
      </c>
      <c r="D23" s="17">
        <f t="shared" ref="D23:E23" si="8">$E$7*J7</f>
        <v>41000</v>
      </c>
      <c r="E23" s="17">
        <f t="shared" si="8"/>
        <v>42000</v>
      </c>
      <c r="G23" s="12" t="s">
        <v>7</v>
      </c>
      <c r="H23" s="17">
        <f>$F$7*I7</f>
        <v>40000</v>
      </c>
      <c r="I23" s="17">
        <f t="shared" ref="I23:J23" si="9">$F$7*J7</f>
        <v>41000</v>
      </c>
      <c r="J23" s="17">
        <f t="shared" si="9"/>
        <v>42000</v>
      </c>
    </row>
    <row r="24" spans="2:16" ht="16" thickBot="1" x14ac:dyDescent="0.4">
      <c r="B24" s="13" t="s">
        <v>8</v>
      </c>
      <c r="C24" s="17">
        <f>$E$8*I8</f>
        <v>290000</v>
      </c>
      <c r="D24" s="17">
        <f t="shared" ref="D24:E24" si="10">$E$8*J8</f>
        <v>300000</v>
      </c>
      <c r="E24" s="17">
        <f t="shared" si="10"/>
        <v>315000</v>
      </c>
      <c r="G24" s="13" t="s">
        <v>8</v>
      </c>
      <c r="H24" s="17">
        <f>$F$8*I8</f>
        <v>232000</v>
      </c>
      <c r="I24" s="17">
        <f t="shared" ref="I24:J24" si="11">$F$8*J8</f>
        <v>240000</v>
      </c>
      <c r="J24" s="17">
        <f t="shared" si="11"/>
        <v>252000</v>
      </c>
    </row>
    <row r="28" spans="2:16" ht="18" thickBot="1" x14ac:dyDescent="0.4">
      <c r="B28" s="3" t="s">
        <v>80</v>
      </c>
      <c r="C28" s="1"/>
      <c r="D28" s="1"/>
      <c r="E28" s="1"/>
      <c r="F28" s="1"/>
      <c r="G28" s="1"/>
    </row>
    <row r="29" spans="2:16" ht="15.5" x14ac:dyDescent="0.35">
      <c r="B29" s="9" t="s">
        <v>10</v>
      </c>
      <c r="C29" s="10" t="s">
        <v>2</v>
      </c>
      <c r="D29" s="10" t="s">
        <v>3</v>
      </c>
      <c r="E29" s="10" t="s">
        <v>4</v>
      </c>
      <c r="F29" s="11" t="s">
        <v>5</v>
      </c>
      <c r="G29" s="11" t="s">
        <v>11</v>
      </c>
    </row>
    <row r="30" spans="2:16" ht="15.5" x14ac:dyDescent="0.35">
      <c r="B30" s="169">
        <f>C13</f>
        <v>2019</v>
      </c>
      <c r="C30" s="17">
        <f>SUM(C14:C16)</f>
        <v>735000</v>
      </c>
      <c r="D30" s="17">
        <f>SUM(H14:H16)</f>
        <v>677000</v>
      </c>
      <c r="E30" s="17">
        <f>SUM(C22:C24)</f>
        <v>405000</v>
      </c>
      <c r="F30" s="18">
        <f>SUM(H22:H24)</f>
        <v>347000</v>
      </c>
      <c r="G30" s="18">
        <f>SUM(C30:F30)</f>
        <v>2164000</v>
      </c>
    </row>
    <row r="31" spans="2:16" ht="15.5" x14ac:dyDescent="0.35">
      <c r="B31" s="169">
        <f>D13</f>
        <v>2020</v>
      </c>
      <c r="C31" s="17">
        <f>SUM(D14:D16)</f>
        <v>760000</v>
      </c>
      <c r="D31" s="17">
        <f>SUM(I14:I16)</f>
        <v>700000</v>
      </c>
      <c r="E31" s="17">
        <f>SUM(D22:D24)</f>
        <v>419000</v>
      </c>
      <c r="F31" s="18">
        <f>SUM(I22:I24)</f>
        <v>359000</v>
      </c>
      <c r="G31" s="18">
        <f>SUM(C31:F31)</f>
        <v>2238000</v>
      </c>
    </row>
    <row r="32" spans="2:16" ht="16" thickBot="1" x14ac:dyDescent="0.4">
      <c r="B32" s="170">
        <f>E13</f>
        <v>2021</v>
      </c>
      <c r="C32" s="19">
        <f>SUM(E14:E16)</f>
        <v>794000</v>
      </c>
      <c r="D32" s="19">
        <f>SUM(J14:J16)</f>
        <v>731000</v>
      </c>
      <c r="E32" s="19">
        <f>SUM(E22:E24)</f>
        <v>437000</v>
      </c>
      <c r="F32" s="20">
        <f>SUM(J22:J24)</f>
        <v>374000</v>
      </c>
      <c r="G32" s="20">
        <f>SUM(C32:F32)</f>
        <v>2336000</v>
      </c>
    </row>
    <row r="39" spans="2:3" x14ac:dyDescent="0.25">
      <c r="B39" s="37"/>
      <c r="C39" s="38"/>
    </row>
    <row r="40" spans="2:3" x14ac:dyDescent="0.25">
      <c r="B40" s="37"/>
      <c r="C40" s="38"/>
    </row>
    <row r="41" spans="2:3" x14ac:dyDescent="0.25">
      <c r="B41" s="37"/>
      <c r="C41" s="38"/>
    </row>
    <row r="42" spans="2:3" x14ac:dyDescent="0.25">
      <c r="B42" s="37"/>
      <c r="C42" s="3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59999389629810485"/>
  </sheetPr>
  <dimension ref="A1:P44"/>
  <sheetViews>
    <sheetView zoomScaleNormal="100" workbookViewId="0">
      <selection activeCell="F36" sqref="F36"/>
    </sheetView>
  </sheetViews>
  <sheetFormatPr defaultRowHeight="12.5" x14ac:dyDescent="0.25"/>
  <cols>
    <col min="2" max="2" width="21.453125" customWidth="1"/>
    <col min="3" max="4" width="16.81640625" customWidth="1"/>
    <col min="5" max="5" width="17.81640625" customWidth="1"/>
    <col min="6" max="6" width="21.453125" customWidth="1"/>
    <col min="8" max="8" width="12.453125" customWidth="1"/>
    <col min="9" max="9" width="16.54296875" customWidth="1"/>
    <col min="10" max="10" width="13.1796875" customWidth="1"/>
    <col min="11" max="11" width="14.81640625" customWidth="1"/>
    <col min="12" max="12" width="15.453125" customWidth="1"/>
    <col min="13" max="13" width="15.7265625" customWidth="1"/>
  </cols>
  <sheetData>
    <row r="1" spans="1:16" ht="15.5" x14ac:dyDescent="0.35">
      <c r="A1" s="101"/>
      <c r="B1" s="101" t="s">
        <v>216</v>
      </c>
      <c r="C1" s="101"/>
      <c r="D1" s="101"/>
      <c r="E1" s="101"/>
      <c r="F1" s="101"/>
      <c r="G1" s="101"/>
      <c r="H1" s="101"/>
      <c r="I1" s="101"/>
      <c r="J1" s="101"/>
      <c r="K1" s="101"/>
      <c r="L1" s="101"/>
      <c r="M1" s="101"/>
      <c r="N1" s="101"/>
      <c r="O1" s="101"/>
      <c r="P1" s="101"/>
    </row>
    <row r="3" spans="1:16" ht="13.5" thickBot="1" x14ac:dyDescent="0.35">
      <c r="B3" s="176" t="s">
        <v>19</v>
      </c>
      <c r="C3" s="68"/>
      <c r="D3" s="6" t="s">
        <v>20</v>
      </c>
      <c r="E3" s="6" t="s">
        <v>20</v>
      </c>
      <c r="F3" s="6"/>
      <c r="G3" s="35"/>
      <c r="H3" s="35"/>
      <c r="I3" s="35"/>
      <c r="J3" s="35"/>
      <c r="K3" s="35"/>
      <c r="L3" s="35"/>
      <c r="M3" s="35"/>
    </row>
    <row r="4" spans="1:16" ht="13.5" thickBot="1" x14ac:dyDescent="0.35">
      <c r="B4" s="6" t="s">
        <v>21</v>
      </c>
      <c r="C4" s="6"/>
      <c r="D4" s="6"/>
      <c r="E4" s="6"/>
      <c r="F4" s="6"/>
      <c r="G4" s="35"/>
      <c r="H4" s="68" t="s">
        <v>92</v>
      </c>
      <c r="I4" s="35"/>
      <c r="J4" s="35"/>
      <c r="K4" s="35"/>
      <c r="L4" s="35"/>
      <c r="M4" s="35"/>
    </row>
    <row r="5" spans="1:16" ht="14" thickBot="1" x14ac:dyDescent="0.4">
      <c r="B5" s="177" t="s">
        <v>152</v>
      </c>
      <c r="C5" s="79" t="s">
        <v>2</v>
      </c>
      <c r="D5" s="79" t="s">
        <v>3</v>
      </c>
      <c r="E5" s="79" t="s">
        <v>4</v>
      </c>
      <c r="F5" s="80" t="s">
        <v>5</v>
      </c>
      <c r="G5" s="35"/>
      <c r="H5" s="175" t="s">
        <v>10</v>
      </c>
      <c r="I5" s="79" t="s">
        <v>2</v>
      </c>
      <c r="J5" s="79" t="s">
        <v>3</v>
      </c>
      <c r="K5" s="79" t="s">
        <v>4</v>
      </c>
      <c r="L5" s="80" t="s">
        <v>5</v>
      </c>
      <c r="M5" s="80" t="s">
        <v>11</v>
      </c>
    </row>
    <row r="6" spans="1:16" ht="13.5" thickBot="1" x14ac:dyDescent="0.35">
      <c r="B6" s="176" t="s">
        <v>223</v>
      </c>
      <c r="C6" s="178">
        <f>Costs!C41</f>
        <v>4313.4000000000005</v>
      </c>
      <c r="D6" s="178">
        <f>Costs!D41</f>
        <v>3217.2000000000003</v>
      </c>
      <c r="E6" s="178">
        <f>Costs!E41</f>
        <v>3223.5</v>
      </c>
      <c r="F6" s="178">
        <f>Costs!F41</f>
        <v>2570.4</v>
      </c>
      <c r="G6" s="35"/>
      <c r="H6" s="179">
        <f>F9</f>
        <v>2019</v>
      </c>
      <c r="I6" s="82">
        <f>C6*C18</f>
        <v>690144.00000000012</v>
      </c>
      <c r="J6" s="82">
        <f>D6*D18</f>
        <v>440756.4</v>
      </c>
      <c r="K6" s="82">
        <f>E6*E18</f>
        <v>315903</v>
      </c>
      <c r="L6" s="82">
        <f>F6*F18</f>
        <v>185068.80000000002</v>
      </c>
      <c r="M6" s="180">
        <f>SUM(I6:L6)</f>
        <v>1631872.2000000002</v>
      </c>
    </row>
    <row r="7" spans="1:16" ht="13" x14ac:dyDescent="0.3">
      <c r="B7" s="35"/>
      <c r="C7" s="35"/>
      <c r="D7" s="35"/>
      <c r="E7" s="35"/>
      <c r="F7" s="35"/>
      <c r="G7" s="35"/>
      <c r="H7" s="179">
        <f>F21</f>
        <v>2020</v>
      </c>
      <c r="I7" s="82">
        <f>C6*C30</f>
        <v>664263.60000000009</v>
      </c>
      <c r="J7" s="82">
        <f>D6*D30</f>
        <v>447190.80000000005</v>
      </c>
      <c r="K7" s="82">
        <f>E6*E30</f>
        <v>306232.5</v>
      </c>
      <c r="L7" s="82">
        <f>F6*F30</f>
        <v>244188</v>
      </c>
      <c r="M7" s="180">
        <f>SUM(I7:L7)</f>
        <v>1661874.9000000001</v>
      </c>
    </row>
    <row r="8" spans="1:16" ht="13.5" thickBot="1" x14ac:dyDescent="0.35">
      <c r="B8" s="35"/>
      <c r="C8" s="35"/>
      <c r="D8" s="35"/>
      <c r="E8" s="35"/>
      <c r="F8" s="35"/>
      <c r="G8" s="35"/>
      <c r="H8" s="181">
        <f>F33</f>
        <v>2021</v>
      </c>
      <c r="I8" s="182">
        <f>C6*C42</f>
        <v>832486.20000000007</v>
      </c>
      <c r="J8" s="182">
        <f t="shared" ref="J8:L8" si="0">D6*D42</f>
        <v>443973.60000000003</v>
      </c>
      <c r="K8" s="182">
        <f t="shared" si="0"/>
        <v>464184</v>
      </c>
      <c r="L8" s="182">
        <f t="shared" si="0"/>
        <v>280173.60000000003</v>
      </c>
      <c r="M8" s="180">
        <f>SUM(I8:L8)</f>
        <v>2020817.4000000001</v>
      </c>
    </row>
    <row r="9" spans="1:16" ht="13.5" thickBot="1" x14ac:dyDescent="0.35">
      <c r="B9" s="6" t="s">
        <v>162</v>
      </c>
      <c r="C9" s="6"/>
      <c r="D9" s="6"/>
      <c r="E9" s="6"/>
      <c r="F9" s="183">
        <f>'Omega Pty Ltd'!U5</f>
        <v>2019</v>
      </c>
      <c r="G9" s="35"/>
      <c r="H9" s="35"/>
      <c r="I9" s="35"/>
      <c r="J9" s="35"/>
      <c r="K9" s="35"/>
      <c r="L9" s="35"/>
      <c r="M9" s="35"/>
    </row>
    <row r="10" spans="1:16" ht="13.5" x14ac:dyDescent="0.35">
      <c r="B10" s="177" t="s">
        <v>14</v>
      </c>
      <c r="C10" s="79" t="s">
        <v>2</v>
      </c>
      <c r="D10" s="79" t="s">
        <v>3</v>
      </c>
      <c r="E10" s="79" t="s">
        <v>4</v>
      </c>
      <c r="F10" s="80" t="s">
        <v>5</v>
      </c>
      <c r="G10" s="35"/>
      <c r="H10" s="35"/>
      <c r="I10" s="35"/>
      <c r="J10" s="35"/>
      <c r="K10" s="35"/>
      <c r="L10" s="35"/>
      <c r="M10" s="35"/>
    </row>
    <row r="11" spans="1:16" ht="13" x14ac:dyDescent="0.3">
      <c r="B11" s="184" t="s">
        <v>15</v>
      </c>
      <c r="C11" s="185">
        <f>'Average Inventories &amp; Cost'!C4</f>
        <v>19</v>
      </c>
      <c r="D11" s="185">
        <f>'Average Inventories &amp; Cost'!D4</f>
        <v>23</v>
      </c>
      <c r="E11" s="185">
        <f>'Average Inventories &amp; Cost'!E4</f>
        <v>18</v>
      </c>
      <c r="F11" s="185">
        <f>'Average Inventories &amp; Cost'!F4</f>
        <v>15</v>
      </c>
      <c r="G11" s="35"/>
      <c r="H11" s="35"/>
      <c r="I11" s="35"/>
      <c r="J11" s="35"/>
      <c r="K11" s="35"/>
      <c r="L11" s="35"/>
      <c r="M11" s="35"/>
    </row>
    <row r="12" spans="1:16" ht="13" x14ac:dyDescent="0.3">
      <c r="B12" s="184" t="s">
        <v>16</v>
      </c>
      <c r="C12" s="185">
        <f>'Average Inventories &amp; Cost'!C5</f>
        <v>31</v>
      </c>
      <c r="D12" s="185">
        <f>'Average Inventories &amp; Cost'!D5</f>
        <v>26</v>
      </c>
      <c r="E12" s="185">
        <f>'Average Inventories &amp; Cost'!E5</f>
        <v>17</v>
      </c>
      <c r="F12" s="185">
        <f>'Average Inventories &amp; Cost'!F5</f>
        <v>14</v>
      </c>
      <c r="G12" s="35"/>
      <c r="H12" s="35"/>
      <c r="I12" s="35"/>
      <c r="J12" s="35"/>
      <c r="K12" s="35"/>
      <c r="L12" s="35"/>
      <c r="M12" s="35"/>
    </row>
    <row r="13" spans="1:16" ht="13" x14ac:dyDescent="0.3">
      <c r="B13" s="184" t="s">
        <v>103</v>
      </c>
      <c r="C13" s="185">
        <f>'Average Inventories &amp; Cost'!C6</f>
        <v>14</v>
      </c>
      <c r="D13" s="185">
        <f>'Average Inventories &amp; Cost'!D6</f>
        <v>13</v>
      </c>
      <c r="E13" s="185">
        <f>'Average Inventories &amp; Cost'!E6</f>
        <v>10</v>
      </c>
      <c r="F13" s="185">
        <f>'Average Inventories &amp; Cost'!F6</f>
        <v>9</v>
      </c>
      <c r="G13" s="35"/>
      <c r="H13" s="35"/>
      <c r="I13" s="35"/>
      <c r="J13" s="35"/>
      <c r="K13" s="35"/>
      <c r="L13" s="35"/>
      <c r="M13" s="35"/>
    </row>
    <row r="14" spans="1:16" ht="13" x14ac:dyDescent="0.3">
      <c r="B14" s="184" t="s">
        <v>17</v>
      </c>
      <c r="C14" s="185">
        <f>'Average Inventories &amp; Cost'!C7</f>
        <v>31</v>
      </c>
      <c r="D14" s="185">
        <f>'Average Inventories &amp; Cost'!D7</f>
        <v>20</v>
      </c>
      <c r="E14" s="185">
        <f>'Average Inventories &amp; Cost'!E7</f>
        <v>19</v>
      </c>
      <c r="F14" s="185">
        <f>'Average Inventories &amp; Cost'!F7</f>
        <v>12</v>
      </c>
      <c r="G14" s="35"/>
      <c r="H14" s="35"/>
      <c r="I14" s="35"/>
      <c r="J14" s="35"/>
      <c r="K14" s="35"/>
      <c r="L14" s="35"/>
      <c r="M14" s="35"/>
    </row>
    <row r="15" spans="1:16" ht="13" x14ac:dyDescent="0.3">
      <c r="B15" s="184" t="s">
        <v>18</v>
      </c>
      <c r="C15" s="185">
        <f>'Average Inventories &amp; Cost'!C8</f>
        <v>16</v>
      </c>
      <c r="D15" s="185">
        <f>'Average Inventories &amp; Cost'!D8</f>
        <v>15</v>
      </c>
      <c r="E15" s="185">
        <f>'Average Inventories &amp; Cost'!E8</f>
        <v>11</v>
      </c>
      <c r="F15" s="185">
        <f>'Average Inventories &amp; Cost'!F8</f>
        <v>7</v>
      </c>
      <c r="G15" s="35"/>
      <c r="H15" s="35"/>
      <c r="I15" s="35"/>
      <c r="J15" s="35"/>
      <c r="K15" s="35"/>
      <c r="L15" s="35"/>
      <c r="M15" s="35"/>
    </row>
    <row r="16" spans="1:16" ht="13" x14ac:dyDescent="0.3">
      <c r="B16" s="184" t="s">
        <v>104</v>
      </c>
      <c r="C16" s="185">
        <f>'Average Inventories &amp; Cost'!C9</f>
        <v>24</v>
      </c>
      <c r="D16" s="185">
        <f>'Average Inventories &amp; Cost'!D9</f>
        <v>23</v>
      </c>
      <c r="E16" s="185">
        <f>'Average Inventories &amp; Cost'!E9</f>
        <v>14</v>
      </c>
      <c r="F16" s="185">
        <f>'Average Inventories &amp; Cost'!F9</f>
        <v>7</v>
      </c>
      <c r="G16" s="35"/>
      <c r="H16" s="35"/>
      <c r="I16" s="35"/>
      <c r="J16" s="35"/>
      <c r="K16" s="35"/>
      <c r="L16" s="35"/>
      <c r="M16" s="35"/>
    </row>
    <row r="17" spans="2:13" ht="13" x14ac:dyDescent="0.3">
      <c r="B17" s="184" t="s">
        <v>105</v>
      </c>
      <c r="C17" s="185">
        <f>'Average Inventories &amp; Cost'!C10</f>
        <v>25</v>
      </c>
      <c r="D17" s="185">
        <f>'Average Inventories &amp; Cost'!D10</f>
        <v>17</v>
      </c>
      <c r="E17" s="185">
        <f>'Average Inventories &amp; Cost'!E10</f>
        <v>9</v>
      </c>
      <c r="F17" s="185">
        <f>'Average Inventories &amp; Cost'!F10</f>
        <v>8</v>
      </c>
      <c r="G17" s="35"/>
      <c r="H17" s="35"/>
      <c r="I17" s="35"/>
      <c r="J17" s="35"/>
      <c r="K17" s="35"/>
      <c r="L17" s="35"/>
      <c r="M17" s="35"/>
    </row>
    <row r="18" spans="2:13" ht="13.5" thickBot="1" x14ac:dyDescent="0.35">
      <c r="B18" s="176" t="s">
        <v>217</v>
      </c>
      <c r="C18" s="187">
        <f>SUM(C11:C17)</f>
        <v>160</v>
      </c>
      <c r="D18" s="187">
        <f>SUM(D11:D17)</f>
        <v>137</v>
      </c>
      <c r="E18" s="187">
        <f>SUM(E11:E17)</f>
        <v>98</v>
      </c>
      <c r="F18" s="188">
        <f>SUM(F11:F17)</f>
        <v>72</v>
      </c>
      <c r="G18" s="35"/>
      <c r="H18" s="35"/>
      <c r="I18" s="35"/>
      <c r="J18" s="35"/>
      <c r="K18" s="35"/>
      <c r="L18" s="35"/>
      <c r="M18" s="35"/>
    </row>
    <row r="19" spans="2:13" x14ac:dyDescent="0.25">
      <c r="B19" s="35"/>
      <c r="C19" s="35"/>
      <c r="D19" s="35"/>
      <c r="E19" s="35"/>
      <c r="F19" s="35"/>
      <c r="G19" s="35"/>
      <c r="H19" s="35"/>
      <c r="I19" s="35"/>
      <c r="J19" s="35"/>
      <c r="K19" s="35"/>
      <c r="L19" s="35"/>
      <c r="M19" s="35"/>
    </row>
    <row r="20" spans="2:13" x14ac:dyDescent="0.25">
      <c r="B20" s="35"/>
      <c r="C20" s="35"/>
      <c r="D20" s="35"/>
      <c r="E20" s="35"/>
      <c r="F20" s="35"/>
      <c r="G20" s="35"/>
      <c r="H20" s="35"/>
      <c r="I20" s="35"/>
      <c r="J20" s="35"/>
      <c r="K20" s="35"/>
      <c r="L20" s="35"/>
      <c r="M20" s="35"/>
    </row>
    <row r="21" spans="2:13" ht="13.5" thickBot="1" x14ac:dyDescent="0.35">
      <c r="B21" s="6" t="s">
        <v>162</v>
      </c>
      <c r="C21" s="6"/>
      <c r="D21" s="6"/>
      <c r="E21" s="6"/>
      <c r="F21" s="183">
        <f>'Omega Pty Ltd'!U6</f>
        <v>2020</v>
      </c>
      <c r="G21" s="35"/>
      <c r="H21" s="35"/>
      <c r="I21" s="35"/>
      <c r="J21" s="35"/>
      <c r="K21" s="35"/>
      <c r="L21" s="35"/>
      <c r="M21" s="35"/>
    </row>
    <row r="22" spans="2:13" ht="13.5" x14ac:dyDescent="0.35">
      <c r="B22" s="177" t="s">
        <v>14</v>
      </c>
      <c r="C22" s="79" t="s">
        <v>2</v>
      </c>
      <c r="D22" s="79" t="s">
        <v>3</v>
      </c>
      <c r="E22" s="79" t="s">
        <v>4</v>
      </c>
      <c r="F22" s="80" t="s">
        <v>5</v>
      </c>
      <c r="G22" s="35"/>
      <c r="H22" s="35"/>
      <c r="I22" s="35"/>
      <c r="J22" s="35"/>
      <c r="K22" s="35"/>
      <c r="L22" s="35"/>
      <c r="M22" s="35"/>
    </row>
    <row r="23" spans="2:13" ht="13" x14ac:dyDescent="0.3">
      <c r="B23" s="184" t="s">
        <v>15</v>
      </c>
      <c r="C23" s="185">
        <f>'Average Inventories &amp; Cost'!C14</f>
        <v>24</v>
      </c>
      <c r="D23" s="185">
        <f>'Average Inventories &amp; Cost'!D14</f>
        <v>25</v>
      </c>
      <c r="E23" s="185">
        <f>'Average Inventories &amp; Cost'!E14</f>
        <v>15</v>
      </c>
      <c r="F23" s="185">
        <f>'Average Inventories &amp; Cost'!F14</f>
        <v>13</v>
      </c>
      <c r="G23" s="35"/>
      <c r="H23" s="35"/>
      <c r="I23" s="35"/>
      <c r="J23" s="35"/>
      <c r="K23" s="35"/>
      <c r="L23" s="35"/>
      <c r="M23" s="35"/>
    </row>
    <row r="24" spans="2:13" ht="13" x14ac:dyDescent="0.3">
      <c r="B24" s="184" t="s">
        <v>16</v>
      </c>
      <c r="C24" s="185">
        <f>'Average Inventories &amp; Cost'!C15</f>
        <v>30</v>
      </c>
      <c r="D24" s="185">
        <f>'Average Inventories &amp; Cost'!D15</f>
        <v>26</v>
      </c>
      <c r="E24" s="185">
        <f>'Average Inventories &amp; Cost'!E15</f>
        <v>16</v>
      </c>
      <c r="F24" s="185">
        <f>'Average Inventories &amp; Cost'!F15</f>
        <v>14</v>
      </c>
      <c r="G24" s="35"/>
      <c r="H24" s="35"/>
      <c r="I24" s="35"/>
      <c r="J24" s="35"/>
      <c r="K24" s="35"/>
      <c r="L24" s="35"/>
      <c r="M24" s="35"/>
    </row>
    <row r="25" spans="2:13" ht="13" x14ac:dyDescent="0.3">
      <c r="B25" s="184" t="s">
        <v>103</v>
      </c>
      <c r="C25" s="185">
        <f>'Average Inventories &amp; Cost'!C16</f>
        <v>10</v>
      </c>
      <c r="D25" s="185">
        <f>'Average Inventories &amp; Cost'!D16</f>
        <v>12</v>
      </c>
      <c r="E25" s="185">
        <f>'Average Inventories &amp; Cost'!E16</f>
        <v>9</v>
      </c>
      <c r="F25" s="185">
        <f>'Average Inventories &amp; Cost'!F16</f>
        <v>8</v>
      </c>
      <c r="G25" s="35"/>
      <c r="H25" s="35"/>
      <c r="I25" s="35"/>
      <c r="J25" s="35"/>
      <c r="K25" s="35"/>
      <c r="L25" s="35"/>
      <c r="M25" s="35"/>
    </row>
    <row r="26" spans="2:13" ht="13" x14ac:dyDescent="0.3">
      <c r="B26" s="184" t="s">
        <v>17</v>
      </c>
      <c r="C26" s="185">
        <f>'Average Inventories &amp; Cost'!C17</f>
        <v>24</v>
      </c>
      <c r="D26" s="185">
        <f>'Average Inventories &amp; Cost'!D17</f>
        <v>18</v>
      </c>
      <c r="E26" s="185">
        <f>'Average Inventories &amp; Cost'!E17</f>
        <v>14</v>
      </c>
      <c r="F26" s="185">
        <f>'Average Inventories &amp; Cost'!F17</f>
        <v>19</v>
      </c>
      <c r="G26" s="35"/>
      <c r="H26" s="35"/>
      <c r="I26" s="35"/>
      <c r="J26" s="35"/>
      <c r="K26" s="35"/>
      <c r="L26" s="35"/>
      <c r="M26" s="35"/>
    </row>
    <row r="27" spans="2:13" ht="13" x14ac:dyDescent="0.3">
      <c r="B27" s="184" t="s">
        <v>18</v>
      </c>
      <c r="C27" s="185">
        <f>'Average Inventories &amp; Cost'!C18</f>
        <v>14</v>
      </c>
      <c r="D27" s="185">
        <f>'Average Inventories &amp; Cost'!D18</f>
        <v>12</v>
      </c>
      <c r="E27" s="185">
        <f>'Average Inventories &amp; Cost'!E18</f>
        <v>11</v>
      </c>
      <c r="F27" s="185">
        <f>'Average Inventories &amp; Cost'!F18</f>
        <v>10</v>
      </c>
      <c r="G27" s="35"/>
      <c r="H27" s="35"/>
      <c r="I27" s="35"/>
      <c r="J27" s="35"/>
      <c r="K27" s="35"/>
      <c r="L27" s="35"/>
      <c r="M27" s="35"/>
    </row>
    <row r="28" spans="2:13" ht="13" x14ac:dyDescent="0.3">
      <c r="B28" s="184" t="s">
        <v>104</v>
      </c>
      <c r="C28" s="185">
        <f>'Average Inventories &amp; Cost'!C19</f>
        <v>27</v>
      </c>
      <c r="D28" s="185">
        <f>'Average Inventories &amp; Cost'!D19</f>
        <v>25</v>
      </c>
      <c r="E28" s="185">
        <f>'Average Inventories &amp; Cost'!E19</f>
        <v>13</v>
      </c>
      <c r="F28" s="185">
        <f>'Average Inventories &amp; Cost'!F19</f>
        <v>15</v>
      </c>
      <c r="G28" s="35"/>
      <c r="H28" s="35"/>
      <c r="I28" s="35"/>
      <c r="J28" s="35"/>
      <c r="K28" s="35"/>
      <c r="L28" s="35"/>
      <c r="M28" s="35"/>
    </row>
    <row r="29" spans="2:13" ht="13" x14ac:dyDescent="0.3">
      <c r="B29" s="184" t="s">
        <v>105</v>
      </c>
      <c r="C29" s="185">
        <f>'Average Inventories &amp; Cost'!C20</f>
        <v>25</v>
      </c>
      <c r="D29" s="185">
        <f>'Average Inventories &amp; Cost'!D20</f>
        <v>21</v>
      </c>
      <c r="E29" s="185">
        <f>'Average Inventories &amp; Cost'!E20</f>
        <v>17</v>
      </c>
      <c r="F29" s="185">
        <f>'Average Inventories &amp; Cost'!F20</f>
        <v>16</v>
      </c>
      <c r="G29" s="35"/>
      <c r="H29" s="35"/>
      <c r="I29" s="35"/>
      <c r="J29" s="35"/>
      <c r="K29" s="35"/>
      <c r="L29" s="35"/>
      <c r="M29" s="35"/>
    </row>
    <row r="30" spans="2:13" ht="13.5" thickBot="1" x14ac:dyDescent="0.35">
      <c r="B30" s="176" t="s">
        <v>217</v>
      </c>
      <c r="C30" s="187">
        <f>SUM(C23:C29)</f>
        <v>154</v>
      </c>
      <c r="D30" s="187">
        <f>SUM(D23:D29)</f>
        <v>139</v>
      </c>
      <c r="E30" s="187">
        <f>SUM(E23:E29)</f>
        <v>95</v>
      </c>
      <c r="F30" s="188">
        <f>SUM(F23:F29)</f>
        <v>95</v>
      </c>
      <c r="G30" s="35"/>
      <c r="H30" s="35"/>
      <c r="I30" s="35"/>
      <c r="J30" s="35"/>
      <c r="K30" s="35"/>
      <c r="L30" s="35"/>
      <c r="M30" s="35"/>
    </row>
    <row r="31" spans="2:13" x14ac:dyDescent="0.25">
      <c r="B31" s="35"/>
      <c r="C31" s="35"/>
      <c r="D31" s="35"/>
      <c r="E31" s="35"/>
      <c r="F31" s="35"/>
      <c r="G31" s="35"/>
      <c r="H31" s="35"/>
      <c r="I31" s="35"/>
      <c r="J31" s="35"/>
      <c r="K31" s="35"/>
      <c r="L31" s="35"/>
      <c r="M31" s="35"/>
    </row>
    <row r="32" spans="2:13" x14ac:dyDescent="0.25">
      <c r="B32" s="35"/>
      <c r="C32" s="35"/>
      <c r="D32" s="35"/>
      <c r="E32" s="35"/>
      <c r="F32" s="35"/>
      <c r="G32" s="35"/>
      <c r="H32" s="35"/>
      <c r="I32" s="35"/>
      <c r="J32" s="35"/>
      <c r="K32" s="35"/>
      <c r="L32" s="35"/>
      <c r="M32" s="35"/>
    </row>
    <row r="33" spans="2:13" ht="13.5" thickBot="1" x14ac:dyDescent="0.35">
      <c r="B33" s="6" t="s">
        <v>162</v>
      </c>
      <c r="C33" s="6"/>
      <c r="D33" s="6"/>
      <c r="E33" s="6"/>
      <c r="F33" s="183">
        <f>'Omega Pty Ltd'!U7</f>
        <v>2021</v>
      </c>
      <c r="G33" s="35"/>
      <c r="H33" s="35"/>
      <c r="I33" s="35"/>
      <c r="J33" s="35"/>
      <c r="K33" s="35"/>
      <c r="L33" s="35"/>
      <c r="M33" s="35"/>
    </row>
    <row r="34" spans="2:13" ht="13.5" x14ac:dyDescent="0.35">
      <c r="B34" s="177" t="s">
        <v>14</v>
      </c>
      <c r="C34" s="79" t="s">
        <v>2</v>
      </c>
      <c r="D34" s="79" t="s">
        <v>3</v>
      </c>
      <c r="E34" s="79" t="s">
        <v>4</v>
      </c>
      <c r="F34" s="80" t="s">
        <v>5</v>
      </c>
      <c r="G34" s="35"/>
      <c r="H34" s="35"/>
      <c r="I34" s="35"/>
      <c r="J34" s="35"/>
      <c r="K34" s="35"/>
      <c r="L34" s="35"/>
      <c r="M34" s="35"/>
    </row>
    <row r="35" spans="2:13" ht="13" x14ac:dyDescent="0.3">
      <c r="B35" s="184" t="s">
        <v>15</v>
      </c>
      <c r="C35" s="185">
        <f>'Average Inventories &amp; Cost'!C24</f>
        <v>28</v>
      </c>
      <c r="D35" s="185">
        <f>'Average Inventories &amp; Cost'!D24</f>
        <v>20</v>
      </c>
      <c r="E35" s="185">
        <f>'Average Inventories &amp; Cost'!E24</f>
        <v>25</v>
      </c>
      <c r="F35" s="185">
        <f>'Average Inventories &amp; Cost'!F24</f>
        <v>13</v>
      </c>
      <c r="G35" s="35"/>
      <c r="H35" s="35"/>
      <c r="I35" s="35"/>
      <c r="J35" s="35"/>
      <c r="K35" s="35"/>
      <c r="L35" s="35"/>
      <c r="M35" s="35"/>
    </row>
    <row r="36" spans="2:13" ht="13" x14ac:dyDescent="0.3">
      <c r="B36" s="184" t="s">
        <v>16</v>
      </c>
      <c r="C36" s="185">
        <f>'Average Inventories &amp; Cost'!C25</f>
        <v>35</v>
      </c>
      <c r="D36" s="185">
        <f>'Average Inventories &amp; Cost'!D25</f>
        <v>20</v>
      </c>
      <c r="E36" s="185">
        <f>'Average Inventories &amp; Cost'!E25</f>
        <v>22</v>
      </c>
      <c r="F36" s="185">
        <f>'Average Inventories &amp; Cost'!F25</f>
        <v>23</v>
      </c>
      <c r="G36" s="35"/>
      <c r="H36" s="35"/>
      <c r="I36" s="35"/>
      <c r="J36" s="35"/>
      <c r="K36" s="35"/>
      <c r="L36" s="35"/>
      <c r="M36" s="35"/>
    </row>
    <row r="37" spans="2:13" ht="13" x14ac:dyDescent="0.3">
      <c r="B37" s="184" t="s">
        <v>103</v>
      </c>
      <c r="C37" s="185">
        <f>'Average Inventories &amp; Cost'!C26</f>
        <v>14</v>
      </c>
      <c r="D37" s="185">
        <f>'Average Inventories &amp; Cost'!D26</f>
        <v>19</v>
      </c>
      <c r="E37" s="185">
        <f>'Average Inventories &amp; Cost'!E26</f>
        <v>6</v>
      </c>
      <c r="F37" s="185">
        <f>'Average Inventories &amp; Cost'!F26</f>
        <v>5</v>
      </c>
      <c r="G37" s="35"/>
      <c r="H37" s="35"/>
      <c r="I37" s="35"/>
      <c r="J37" s="35"/>
      <c r="K37" s="35"/>
      <c r="L37" s="35"/>
      <c r="M37" s="35"/>
    </row>
    <row r="38" spans="2:13" ht="13" x14ac:dyDescent="0.3">
      <c r="B38" s="184" t="s">
        <v>17</v>
      </c>
      <c r="C38" s="185">
        <f>'Average Inventories &amp; Cost'!C27</f>
        <v>32</v>
      </c>
      <c r="D38" s="185">
        <f>'Average Inventories &amp; Cost'!D27</f>
        <v>26</v>
      </c>
      <c r="E38" s="185">
        <f>'Average Inventories &amp; Cost'!E27</f>
        <v>28</v>
      </c>
      <c r="F38" s="185">
        <f>'Average Inventories &amp; Cost'!F27</f>
        <v>17</v>
      </c>
      <c r="G38" s="35"/>
      <c r="H38" s="35"/>
      <c r="I38" s="35"/>
      <c r="J38" s="35"/>
      <c r="K38" s="35"/>
      <c r="L38" s="35"/>
      <c r="M38" s="35"/>
    </row>
    <row r="39" spans="2:13" ht="13" x14ac:dyDescent="0.3">
      <c r="B39" s="184" t="s">
        <v>18</v>
      </c>
      <c r="C39" s="185">
        <f>'Average Inventories &amp; Cost'!C28</f>
        <v>27</v>
      </c>
      <c r="D39" s="185">
        <f>'Average Inventories &amp; Cost'!D28</f>
        <v>12</v>
      </c>
      <c r="E39" s="185">
        <f>'Average Inventories &amp; Cost'!E28</f>
        <v>16</v>
      </c>
      <c r="F39" s="185">
        <f>'Average Inventories &amp; Cost'!F28</f>
        <v>17</v>
      </c>
      <c r="G39" s="35"/>
      <c r="H39" s="35"/>
      <c r="I39" s="35"/>
      <c r="J39" s="35"/>
      <c r="K39" s="35"/>
      <c r="L39" s="35"/>
      <c r="M39" s="35"/>
    </row>
    <row r="40" spans="2:13" ht="13" x14ac:dyDescent="0.3">
      <c r="B40" s="184" t="s">
        <v>104</v>
      </c>
      <c r="C40" s="185">
        <f>'Average Inventories &amp; Cost'!C29</f>
        <v>34</v>
      </c>
      <c r="D40" s="185">
        <f>'Average Inventories &amp; Cost'!D29</f>
        <v>27</v>
      </c>
      <c r="E40" s="185">
        <f>'Average Inventories &amp; Cost'!E29</f>
        <v>23</v>
      </c>
      <c r="F40" s="185">
        <f>'Average Inventories &amp; Cost'!F29</f>
        <v>16</v>
      </c>
      <c r="G40" s="35"/>
      <c r="H40" s="35"/>
      <c r="I40" s="35"/>
      <c r="J40" s="35"/>
      <c r="K40" s="35"/>
      <c r="L40" s="35"/>
      <c r="M40" s="35"/>
    </row>
    <row r="41" spans="2:13" ht="13" x14ac:dyDescent="0.3">
      <c r="B41" s="184" t="s">
        <v>105</v>
      </c>
      <c r="C41" s="185">
        <f>'Average Inventories &amp; Cost'!C30</f>
        <v>23</v>
      </c>
      <c r="D41" s="185">
        <f>'Average Inventories &amp; Cost'!D30</f>
        <v>14</v>
      </c>
      <c r="E41" s="185">
        <f>'Average Inventories &amp; Cost'!E30</f>
        <v>24</v>
      </c>
      <c r="F41" s="185">
        <f>'Average Inventories &amp; Cost'!F30</f>
        <v>18</v>
      </c>
      <c r="G41" s="35"/>
      <c r="H41" s="35"/>
      <c r="I41" s="35"/>
      <c r="J41" s="35"/>
      <c r="K41" s="35"/>
      <c r="L41" s="35"/>
      <c r="M41" s="35"/>
    </row>
    <row r="42" spans="2:13" ht="13.5" thickBot="1" x14ac:dyDescent="0.35">
      <c r="B42" s="176" t="s">
        <v>217</v>
      </c>
      <c r="C42" s="187">
        <f>SUM(C35:C41)</f>
        <v>193</v>
      </c>
      <c r="D42" s="187">
        <f>SUM(D35:D41)</f>
        <v>138</v>
      </c>
      <c r="E42" s="187">
        <f>SUM(E35:E41)</f>
        <v>144</v>
      </c>
      <c r="F42" s="188">
        <f>SUM(F35:F41)</f>
        <v>109</v>
      </c>
      <c r="G42" s="35"/>
      <c r="H42" s="35"/>
      <c r="I42" s="35"/>
      <c r="J42" s="35"/>
      <c r="K42" s="35"/>
      <c r="L42" s="35"/>
      <c r="M42" s="35"/>
    </row>
    <row r="43" spans="2:13" x14ac:dyDescent="0.25">
      <c r="B43" s="35"/>
      <c r="C43" s="35"/>
      <c r="D43" s="35"/>
      <c r="E43" s="35"/>
      <c r="F43" s="35"/>
      <c r="G43" s="35"/>
      <c r="H43" s="35"/>
      <c r="I43" s="35"/>
      <c r="J43" s="35"/>
      <c r="K43" s="35"/>
      <c r="L43" s="35"/>
      <c r="M43" s="35"/>
    </row>
    <row r="44" spans="2:13" x14ac:dyDescent="0.25">
      <c r="B44" s="35"/>
      <c r="C44" s="35"/>
      <c r="D44" s="35"/>
      <c r="E44" s="35"/>
      <c r="F44" s="35"/>
      <c r="G44" s="35"/>
      <c r="H44" s="35"/>
      <c r="I44" s="35"/>
      <c r="J44" s="35"/>
      <c r="K44" s="35"/>
      <c r="L44" s="35"/>
      <c r="M44" s="3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59999389629810485"/>
  </sheetPr>
  <dimension ref="B2:P45"/>
  <sheetViews>
    <sheetView zoomScaleNormal="100" workbookViewId="0">
      <selection activeCell="L44" sqref="L44"/>
    </sheetView>
  </sheetViews>
  <sheetFormatPr defaultColWidth="9.1796875" defaultRowHeight="12.5" x14ac:dyDescent="0.25"/>
  <cols>
    <col min="1" max="1" width="9.1796875" style="35"/>
    <col min="2" max="2" width="22.1796875" style="35" customWidth="1"/>
    <col min="3" max="3" width="17.453125" style="35" customWidth="1"/>
    <col min="4" max="4" width="13.81640625" style="35" customWidth="1"/>
    <col min="5" max="5" width="12.54296875" style="35" customWidth="1"/>
    <col min="6" max="6" width="12" style="35" customWidth="1"/>
    <col min="7" max="7" width="9.1796875" style="35"/>
    <col min="8" max="8" width="22.1796875" style="35" customWidth="1"/>
    <col min="9" max="9" width="22.54296875" style="35" customWidth="1"/>
    <col min="10" max="10" width="9.1796875" style="35"/>
    <col min="11" max="11" width="20.81640625" style="35" customWidth="1"/>
    <col min="12" max="12" width="14" style="35" customWidth="1"/>
    <col min="13" max="13" width="15.26953125" style="35" customWidth="1"/>
    <col min="14" max="14" width="14.1796875" style="35" customWidth="1"/>
    <col min="15" max="15" width="13.453125" style="35" customWidth="1"/>
    <col min="16" max="16" width="16.7265625" style="35" customWidth="1"/>
    <col min="17" max="16384" width="9.1796875" style="35"/>
  </cols>
  <sheetData>
    <row r="2" spans="2:15" ht="13" x14ac:dyDescent="0.3">
      <c r="B2" s="68" t="s">
        <v>83</v>
      </c>
    </row>
    <row r="4" spans="2:15" ht="13" x14ac:dyDescent="0.3">
      <c r="B4" s="6" t="s">
        <v>161</v>
      </c>
      <c r="C4" s="6"/>
      <c r="D4" s="6"/>
      <c r="E4" s="284">
        <f>'Sales Target &amp; Actual'!K2</f>
        <v>2019</v>
      </c>
      <c r="F4" s="6"/>
      <c r="H4" s="284" t="s">
        <v>82</v>
      </c>
      <c r="I4" s="68"/>
      <c r="K4" s="68" t="s">
        <v>163</v>
      </c>
      <c r="L4" s="283">
        <f>E4</f>
        <v>2019</v>
      </c>
      <c r="M4" s="6"/>
      <c r="N4" s="6"/>
      <c r="O4" s="6"/>
    </row>
    <row r="5" spans="2:15" ht="13.5" x14ac:dyDescent="0.35">
      <c r="B5" s="69" t="s">
        <v>14</v>
      </c>
      <c r="C5" s="70" t="s">
        <v>2</v>
      </c>
      <c r="D5" s="70" t="s">
        <v>3</v>
      </c>
      <c r="E5" s="70" t="s">
        <v>4</v>
      </c>
      <c r="F5" s="70" t="s">
        <v>5</v>
      </c>
      <c r="H5" s="71" t="s">
        <v>14</v>
      </c>
      <c r="I5" s="72" t="s">
        <v>81</v>
      </c>
      <c r="K5" s="69" t="s">
        <v>20</v>
      </c>
      <c r="L5" s="70" t="s">
        <v>2</v>
      </c>
      <c r="M5" s="70" t="s">
        <v>3</v>
      </c>
      <c r="N5" s="70" t="s">
        <v>4</v>
      </c>
      <c r="O5" s="70" t="s">
        <v>5</v>
      </c>
    </row>
    <row r="6" spans="2:15" ht="13" x14ac:dyDescent="0.3">
      <c r="B6" s="73" t="s">
        <v>15</v>
      </c>
      <c r="C6" s="74">
        <f>'Sales Target &amp; Actual'!I4</f>
        <v>1837</v>
      </c>
      <c r="D6" s="74">
        <f>'Sales Target &amp; Actual'!J4</f>
        <v>1316</v>
      </c>
      <c r="E6" s="74">
        <f>'Sales Target &amp; Actual'!K4</f>
        <v>871</v>
      </c>
      <c r="F6" s="74">
        <f>'Sales Target &amp; Actual'!L4</f>
        <v>683</v>
      </c>
      <c r="H6" s="75" t="s">
        <v>15</v>
      </c>
      <c r="I6" s="76">
        <f>'Average Inventories &amp; Cost'!I4</f>
        <v>635</v>
      </c>
      <c r="K6" s="73" t="s">
        <v>15</v>
      </c>
      <c r="L6" s="74">
        <f>C6*$I$6</f>
        <v>1166495</v>
      </c>
      <c r="M6" s="74">
        <f t="shared" ref="M6:O6" si="0">D6*$I$6</f>
        <v>835660</v>
      </c>
      <c r="N6" s="74">
        <f t="shared" si="0"/>
        <v>553085</v>
      </c>
      <c r="O6" s="74">
        <f t="shared" si="0"/>
        <v>433705</v>
      </c>
    </row>
    <row r="7" spans="2:15" ht="13" x14ac:dyDescent="0.3">
      <c r="B7" s="73" t="s">
        <v>16</v>
      </c>
      <c r="C7" s="74">
        <f>'Sales Target &amp; Actual'!I5</f>
        <v>3398</v>
      </c>
      <c r="D7" s="74">
        <f>'Sales Target &amp; Actual'!J5</f>
        <v>2790</v>
      </c>
      <c r="E7" s="74">
        <f>'Sales Target &amp; Actual'!K5</f>
        <v>1571</v>
      </c>
      <c r="F7" s="74">
        <f>'Sales Target &amp; Actual'!L5</f>
        <v>1246</v>
      </c>
      <c r="H7" s="73" t="s">
        <v>16</v>
      </c>
      <c r="I7" s="76">
        <f>'Average Inventories &amp; Cost'!I5</f>
        <v>550</v>
      </c>
      <c r="K7" s="73" t="s">
        <v>16</v>
      </c>
      <c r="L7" s="74">
        <f>C7*$I$7</f>
        <v>1868900</v>
      </c>
      <c r="M7" s="74">
        <f t="shared" ref="M7:O7" si="1">D7*$I$7</f>
        <v>1534500</v>
      </c>
      <c r="N7" s="74">
        <f t="shared" si="1"/>
        <v>864050</v>
      </c>
      <c r="O7" s="74">
        <f t="shared" si="1"/>
        <v>685300</v>
      </c>
    </row>
    <row r="8" spans="2:15" ht="13" x14ac:dyDescent="0.3">
      <c r="B8" s="73" t="s">
        <v>103</v>
      </c>
      <c r="C8" s="74">
        <f>'Sales Target &amp; Actual'!I6</f>
        <v>884</v>
      </c>
      <c r="D8" s="74">
        <f>'Sales Target &amp; Actual'!J6</f>
        <v>542</v>
      </c>
      <c r="E8" s="74">
        <f>'Sales Target &amp; Actual'!K6</f>
        <v>516</v>
      </c>
      <c r="F8" s="74">
        <f>'Sales Target &amp; Actual'!L6</f>
        <v>640</v>
      </c>
      <c r="H8" s="73" t="s">
        <v>103</v>
      </c>
      <c r="I8" s="76">
        <f>'Average Inventories &amp; Cost'!I6</f>
        <v>660</v>
      </c>
      <c r="K8" s="73" t="s">
        <v>103</v>
      </c>
      <c r="L8" s="74">
        <f>C8*$I$8</f>
        <v>583440</v>
      </c>
      <c r="M8" s="74">
        <f t="shared" ref="M8:O8" si="2">D8*$I$8</f>
        <v>357720</v>
      </c>
      <c r="N8" s="74">
        <f t="shared" si="2"/>
        <v>340560</v>
      </c>
      <c r="O8" s="74">
        <f t="shared" si="2"/>
        <v>422400</v>
      </c>
    </row>
    <row r="9" spans="2:15" ht="13" x14ac:dyDescent="0.3">
      <c r="B9" s="73" t="s">
        <v>17</v>
      </c>
      <c r="C9" s="74">
        <f>'Sales Target &amp; Actual'!I7</f>
        <v>2487</v>
      </c>
      <c r="D9" s="74">
        <f>'Sales Target &amp; Actual'!J7</f>
        <v>1968</v>
      </c>
      <c r="E9" s="74">
        <f>'Sales Target &amp; Actual'!K7</f>
        <v>1255</v>
      </c>
      <c r="F9" s="74">
        <f>'Sales Target &amp; Actual'!L7</f>
        <v>1150</v>
      </c>
      <c r="H9" s="73" t="s">
        <v>17</v>
      </c>
      <c r="I9" s="76">
        <f>'Average Inventories &amp; Cost'!I7</f>
        <v>300</v>
      </c>
      <c r="K9" s="73" t="s">
        <v>17</v>
      </c>
      <c r="L9" s="74">
        <f>C9*$I$9</f>
        <v>746100</v>
      </c>
      <c r="M9" s="74">
        <f t="shared" ref="M9:O9" si="3">D9*$I$9</f>
        <v>590400</v>
      </c>
      <c r="N9" s="74">
        <f t="shared" si="3"/>
        <v>376500</v>
      </c>
      <c r="O9" s="74">
        <f t="shared" si="3"/>
        <v>345000</v>
      </c>
    </row>
    <row r="10" spans="2:15" ht="13" x14ac:dyDescent="0.3">
      <c r="B10" s="73" t="s">
        <v>18</v>
      </c>
      <c r="C10" s="74">
        <f>'Sales Target &amp; Actual'!I8</f>
        <v>1712</v>
      </c>
      <c r="D10" s="74">
        <f>'Sales Target &amp; Actual'!J8</f>
        <v>1364</v>
      </c>
      <c r="E10" s="74">
        <f>'Sales Target &amp; Actual'!K8</f>
        <v>714</v>
      </c>
      <c r="F10" s="74">
        <f>'Sales Target &amp; Actual'!L8</f>
        <v>686</v>
      </c>
      <c r="H10" s="73" t="s">
        <v>18</v>
      </c>
      <c r="I10" s="76">
        <f>'Average Inventories &amp; Cost'!I8</f>
        <v>490</v>
      </c>
      <c r="K10" s="73" t="s">
        <v>18</v>
      </c>
      <c r="L10" s="74">
        <f>C10*$I$10</f>
        <v>838880</v>
      </c>
      <c r="M10" s="74">
        <f t="shared" ref="M10:O10" si="4">D10*$I$10</f>
        <v>668360</v>
      </c>
      <c r="N10" s="74">
        <f t="shared" si="4"/>
        <v>349860</v>
      </c>
      <c r="O10" s="74">
        <f t="shared" si="4"/>
        <v>336140</v>
      </c>
    </row>
    <row r="11" spans="2:15" ht="13" x14ac:dyDescent="0.3">
      <c r="B11" s="73" t="s">
        <v>104</v>
      </c>
      <c r="C11" s="74">
        <f>'Sales Target &amp; Actual'!I9</f>
        <v>2238</v>
      </c>
      <c r="D11" s="74">
        <f>'Sales Target &amp; Actual'!J9</f>
        <v>1709</v>
      </c>
      <c r="E11" s="74">
        <f>'Sales Target &amp; Actual'!K9</f>
        <v>1104</v>
      </c>
      <c r="F11" s="74">
        <f>'Sales Target &amp; Actual'!L9</f>
        <v>972</v>
      </c>
      <c r="H11" s="73" t="s">
        <v>104</v>
      </c>
      <c r="I11" s="76">
        <f>'Average Inventories &amp; Cost'!I9</f>
        <v>540</v>
      </c>
      <c r="K11" s="73" t="s">
        <v>104</v>
      </c>
      <c r="L11" s="74">
        <f>C11*$I$11</f>
        <v>1208520</v>
      </c>
      <c r="M11" s="74">
        <f t="shared" ref="M11:O11" si="5">D11*$I$11</f>
        <v>922860</v>
      </c>
      <c r="N11" s="74">
        <f t="shared" si="5"/>
        <v>596160</v>
      </c>
      <c r="O11" s="74">
        <f t="shared" si="5"/>
        <v>524880</v>
      </c>
    </row>
    <row r="12" spans="2:15" ht="13" x14ac:dyDescent="0.3">
      <c r="B12" s="73" t="s">
        <v>105</v>
      </c>
      <c r="C12" s="74">
        <f>'Sales Target &amp; Actual'!I10</f>
        <v>2281</v>
      </c>
      <c r="D12" s="74">
        <f>'Sales Target &amp; Actual'!J10</f>
        <v>1729</v>
      </c>
      <c r="E12" s="74">
        <f>'Sales Target &amp; Actual'!K10</f>
        <v>1121</v>
      </c>
      <c r="F12" s="74">
        <f>'Sales Target &amp; Actual'!L10</f>
        <v>914</v>
      </c>
      <c r="H12" s="73" t="s">
        <v>105</v>
      </c>
      <c r="I12" s="76">
        <f>'Average Inventories &amp; Cost'!I10</f>
        <v>340</v>
      </c>
      <c r="K12" s="73" t="s">
        <v>105</v>
      </c>
      <c r="L12" s="74">
        <f>C12*$I$12</f>
        <v>775540</v>
      </c>
      <c r="M12" s="74">
        <f t="shared" ref="M12:O12" si="6">D12*$I$12</f>
        <v>587860</v>
      </c>
      <c r="N12" s="74">
        <f t="shared" si="6"/>
        <v>381140</v>
      </c>
      <c r="O12" s="74">
        <f t="shared" si="6"/>
        <v>310760</v>
      </c>
    </row>
    <row r="13" spans="2:15" ht="13" x14ac:dyDescent="0.3">
      <c r="B13" s="73" t="s">
        <v>23</v>
      </c>
      <c r="C13" s="77">
        <f>SUM(C6:C12)</f>
        <v>14837</v>
      </c>
      <c r="D13" s="77">
        <f>SUM(D6:D12)</f>
        <v>11418</v>
      </c>
      <c r="E13" s="77">
        <f>SUM(E6:E12)</f>
        <v>7152</v>
      </c>
      <c r="F13" s="77">
        <f>SUM(F6:F12)</f>
        <v>6291</v>
      </c>
      <c r="K13" s="73" t="s">
        <v>23</v>
      </c>
      <c r="L13" s="74">
        <f>SUM(L6:L12)</f>
        <v>7187875</v>
      </c>
      <c r="M13" s="74">
        <f>SUM(M6:M12)</f>
        <v>5497360</v>
      </c>
      <c r="N13" s="74">
        <f>SUM(N6:N12)</f>
        <v>3461355</v>
      </c>
      <c r="O13" s="74">
        <f>SUM(O6:O12)</f>
        <v>3058185</v>
      </c>
    </row>
    <row r="16" spans="2:15" ht="13" x14ac:dyDescent="0.3">
      <c r="B16" s="6" t="s">
        <v>161</v>
      </c>
      <c r="C16" s="6"/>
      <c r="D16" s="6"/>
      <c r="E16" s="284">
        <f>'Sales Target &amp; Actual'!K13</f>
        <v>2020</v>
      </c>
      <c r="F16" s="6"/>
      <c r="K16" s="68" t="s">
        <v>163</v>
      </c>
      <c r="L16" s="283">
        <f>E16</f>
        <v>2020</v>
      </c>
      <c r="M16" s="6"/>
      <c r="N16" s="6"/>
      <c r="O16" s="6"/>
    </row>
    <row r="17" spans="2:15" ht="13.5" x14ac:dyDescent="0.35">
      <c r="B17" s="69" t="s">
        <v>14</v>
      </c>
      <c r="C17" s="70" t="s">
        <v>2</v>
      </c>
      <c r="D17" s="70" t="s">
        <v>3</v>
      </c>
      <c r="E17" s="70" t="s">
        <v>4</v>
      </c>
      <c r="F17" s="70" t="s">
        <v>5</v>
      </c>
      <c r="K17" s="69" t="s">
        <v>20</v>
      </c>
      <c r="L17" s="70" t="s">
        <v>2</v>
      </c>
      <c r="M17" s="70" t="s">
        <v>3</v>
      </c>
      <c r="N17" s="70" t="s">
        <v>4</v>
      </c>
      <c r="O17" s="70" t="s">
        <v>5</v>
      </c>
    </row>
    <row r="18" spans="2:15" ht="13" x14ac:dyDescent="0.3">
      <c r="B18" s="73" t="s">
        <v>15</v>
      </c>
      <c r="C18" s="74">
        <f>'Sales Target &amp; Actual'!I15</f>
        <v>1928</v>
      </c>
      <c r="D18" s="74">
        <f>'Sales Target &amp; Actual'!J15</f>
        <v>1512</v>
      </c>
      <c r="E18" s="74">
        <f>'Sales Target &amp; Actual'!K15</f>
        <v>1116</v>
      </c>
      <c r="F18" s="74">
        <f>'Sales Target &amp; Actual'!L15</f>
        <v>1073</v>
      </c>
      <c r="K18" s="73" t="s">
        <v>15</v>
      </c>
      <c r="L18" s="74">
        <f>C18*I6</f>
        <v>1224280</v>
      </c>
      <c r="M18" s="74">
        <f>D18*$I$6</f>
        <v>960120</v>
      </c>
      <c r="N18" s="74">
        <f>E18*$I$6</f>
        <v>708660</v>
      </c>
      <c r="O18" s="74">
        <f>F18*$I$6</f>
        <v>681355</v>
      </c>
    </row>
    <row r="19" spans="2:15" ht="13" x14ac:dyDescent="0.3">
      <c r="B19" s="73" t="s">
        <v>16</v>
      </c>
      <c r="C19" s="74">
        <f>'Sales Target &amp; Actual'!I16</f>
        <v>3088</v>
      </c>
      <c r="D19" s="74">
        <f>'Sales Target &amp; Actual'!J16</f>
        <v>2260</v>
      </c>
      <c r="E19" s="74">
        <f>'Sales Target &amp; Actual'!K16</f>
        <v>1710</v>
      </c>
      <c r="F19" s="74">
        <f>'Sales Target &amp; Actual'!L16</f>
        <v>1455</v>
      </c>
      <c r="K19" s="73" t="s">
        <v>16</v>
      </c>
      <c r="L19" s="74">
        <f>C19*$I$7</f>
        <v>1698400</v>
      </c>
      <c r="M19" s="74">
        <f t="shared" ref="M19:O19" si="7">D19*$I$7</f>
        <v>1243000</v>
      </c>
      <c r="N19" s="74">
        <f t="shared" si="7"/>
        <v>940500</v>
      </c>
      <c r="O19" s="74">
        <f t="shared" si="7"/>
        <v>800250</v>
      </c>
    </row>
    <row r="20" spans="2:15" ht="13" x14ac:dyDescent="0.3">
      <c r="B20" s="73" t="s">
        <v>103</v>
      </c>
      <c r="C20" s="74">
        <f>'Sales Target &amp; Actual'!I17</f>
        <v>769</v>
      </c>
      <c r="D20" s="74">
        <f>'Sales Target &amp; Actual'!J17</f>
        <v>679</v>
      </c>
      <c r="E20" s="74">
        <f>'Sales Target &amp; Actual'!K17</f>
        <v>589</v>
      </c>
      <c r="F20" s="74">
        <f>'Sales Target &amp; Actual'!L17</f>
        <v>601</v>
      </c>
      <c r="K20" s="73" t="s">
        <v>103</v>
      </c>
      <c r="L20" s="74">
        <f>C20*$I$8</f>
        <v>507540</v>
      </c>
      <c r="M20" s="74">
        <f t="shared" ref="M20:O20" si="8">D20*$I$8</f>
        <v>448140</v>
      </c>
      <c r="N20" s="74">
        <f t="shared" si="8"/>
        <v>388740</v>
      </c>
      <c r="O20" s="74">
        <f t="shared" si="8"/>
        <v>396660</v>
      </c>
    </row>
    <row r="21" spans="2:15" ht="13" x14ac:dyDescent="0.3">
      <c r="B21" s="73" t="s">
        <v>17</v>
      </c>
      <c r="C21" s="74">
        <f>'Sales Target &amp; Actual'!I18</f>
        <v>2740</v>
      </c>
      <c r="D21" s="74">
        <f>'Sales Target &amp; Actual'!J18</f>
        <v>1927</v>
      </c>
      <c r="E21" s="74">
        <f>'Sales Target &amp; Actual'!K18</f>
        <v>1310</v>
      </c>
      <c r="F21" s="74">
        <f>'Sales Target &amp; Actual'!L18</f>
        <v>1066</v>
      </c>
      <c r="K21" s="73" t="s">
        <v>17</v>
      </c>
      <c r="L21" s="74">
        <f>C21*$I$9</f>
        <v>822000</v>
      </c>
      <c r="M21" s="74">
        <f t="shared" ref="M21:O21" si="9">D21*$I$9</f>
        <v>578100</v>
      </c>
      <c r="N21" s="74">
        <f t="shared" si="9"/>
        <v>393000</v>
      </c>
      <c r="O21" s="74">
        <f t="shared" si="9"/>
        <v>319800</v>
      </c>
    </row>
    <row r="22" spans="2:15" ht="13" x14ac:dyDescent="0.3">
      <c r="B22" s="73" t="s">
        <v>18</v>
      </c>
      <c r="C22" s="74">
        <f>'Sales Target &amp; Actual'!I19</f>
        <v>1655</v>
      </c>
      <c r="D22" s="74">
        <f>'Sales Target &amp; Actual'!J19</f>
        <v>1057</v>
      </c>
      <c r="E22" s="74">
        <f>'Sales Target &amp; Actual'!K19</f>
        <v>768</v>
      </c>
      <c r="F22" s="74">
        <f>'Sales Target &amp; Actual'!L19</f>
        <v>779</v>
      </c>
      <c r="K22" s="73" t="s">
        <v>18</v>
      </c>
      <c r="L22" s="74">
        <f>C22*$I$10</f>
        <v>810950</v>
      </c>
      <c r="M22" s="74">
        <f t="shared" ref="M22:O22" si="10">D22*$I$10</f>
        <v>517930</v>
      </c>
      <c r="N22" s="74">
        <f t="shared" si="10"/>
        <v>376320</v>
      </c>
      <c r="O22" s="74">
        <f t="shared" si="10"/>
        <v>381710</v>
      </c>
    </row>
    <row r="23" spans="2:15" ht="13" x14ac:dyDescent="0.3">
      <c r="B23" s="73" t="s">
        <v>104</v>
      </c>
      <c r="C23" s="74">
        <f>'Sales Target &amp; Actual'!I20</f>
        <v>2381</v>
      </c>
      <c r="D23" s="74">
        <f>'Sales Target &amp; Actual'!J20</f>
        <v>1579</v>
      </c>
      <c r="E23" s="74">
        <f>'Sales Target &amp; Actual'!K20</f>
        <v>1200</v>
      </c>
      <c r="F23" s="74">
        <f>'Sales Target &amp; Actual'!L20</f>
        <v>1123</v>
      </c>
      <c r="K23" s="73" t="s">
        <v>104</v>
      </c>
      <c r="L23" s="74">
        <f>C23*$I$11</f>
        <v>1285740</v>
      </c>
      <c r="M23" s="74">
        <f t="shared" ref="M23:O23" si="11">D23*$I$11</f>
        <v>852660</v>
      </c>
      <c r="N23" s="74">
        <f t="shared" si="11"/>
        <v>648000</v>
      </c>
      <c r="O23" s="74">
        <f t="shared" si="11"/>
        <v>606420</v>
      </c>
    </row>
    <row r="24" spans="2:15" ht="13" x14ac:dyDescent="0.3">
      <c r="B24" s="73" t="s">
        <v>105</v>
      </c>
      <c r="C24" s="74">
        <f>'Sales Target &amp; Actual'!I21</f>
        <v>2289</v>
      </c>
      <c r="D24" s="74">
        <f>'Sales Target &amp; Actual'!J21</f>
        <v>1564</v>
      </c>
      <c r="E24" s="74">
        <f>'Sales Target &amp; Actual'!K21</f>
        <v>1201</v>
      </c>
      <c r="F24" s="74">
        <f>'Sales Target &amp; Actual'!L21</f>
        <v>884</v>
      </c>
      <c r="K24" s="73" t="s">
        <v>105</v>
      </c>
      <c r="L24" s="74">
        <f>C24*$I$12</f>
        <v>778260</v>
      </c>
      <c r="M24" s="74">
        <f t="shared" ref="M24:O24" si="12">D24*$I$12</f>
        <v>531760</v>
      </c>
      <c r="N24" s="74">
        <f t="shared" si="12"/>
        <v>408340</v>
      </c>
      <c r="O24" s="74">
        <f t="shared" si="12"/>
        <v>300560</v>
      </c>
    </row>
    <row r="25" spans="2:15" ht="13" x14ac:dyDescent="0.3">
      <c r="B25" s="73" t="s">
        <v>23</v>
      </c>
      <c r="C25" s="77">
        <f>SUM(C18:C24)</f>
        <v>14850</v>
      </c>
      <c r="D25" s="77">
        <f>SUM(D18:D24)</f>
        <v>10578</v>
      </c>
      <c r="E25" s="77">
        <f>SUM(E18:E24)</f>
        <v>7894</v>
      </c>
      <c r="F25" s="77">
        <f>SUM(F18:F24)</f>
        <v>6981</v>
      </c>
      <c r="K25" s="73" t="s">
        <v>23</v>
      </c>
      <c r="L25" s="74">
        <f>SUM(L18:L24)</f>
        <v>7127170</v>
      </c>
      <c r="M25" s="74">
        <f>SUM(M18:M24)</f>
        <v>5131710</v>
      </c>
      <c r="N25" s="74">
        <f>SUM(N18:N24)</f>
        <v>3863560</v>
      </c>
      <c r="O25" s="74">
        <f>SUM(O18:O24)</f>
        <v>3486755</v>
      </c>
    </row>
    <row r="28" spans="2:15" ht="13" x14ac:dyDescent="0.3">
      <c r="B28" s="6" t="s">
        <v>161</v>
      </c>
      <c r="C28" s="6"/>
      <c r="D28" s="6"/>
      <c r="E28" s="284">
        <f>'Sales Target &amp; Actual'!K24</f>
        <v>2021</v>
      </c>
      <c r="F28" s="6"/>
      <c r="K28" s="68" t="s">
        <v>164</v>
      </c>
      <c r="L28" s="283">
        <f>E28</f>
        <v>2021</v>
      </c>
      <c r="M28" s="6"/>
      <c r="N28" s="6"/>
      <c r="O28" s="6"/>
    </row>
    <row r="29" spans="2:15" ht="13.5" x14ac:dyDescent="0.35">
      <c r="B29" s="69" t="s">
        <v>14</v>
      </c>
      <c r="C29" s="70" t="s">
        <v>2</v>
      </c>
      <c r="D29" s="70" t="s">
        <v>3</v>
      </c>
      <c r="E29" s="70" t="s">
        <v>4</v>
      </c>
      <c r="F29" s="70" t="s">
        <v>5</v>
      </c>
      <c r="K29" s="69" t="s">
        <v>20</v>
      </c>
      <c r="L29" s="70" t="s">
        <v>2</v>
      </c>
      <c r="M29" s="70" t="s">
        <v>3</v>
      </c>
      <c r="N29" s="70" t="s">
        <v>4</v>
      </c>
      <c r="O29" s="70" t="s">
        <v>5</v>
      </c>
    </row>
    <row r="30" spans="2:15" ht="13" x14ac:dyDescent="0.3">
      <c r="B30" s="73" t="s">
        <v>15</v>
      </c>
      <c r="C30" s="74">
        <f>'Sales Target &amp; Actual'!I26</f>
        <v>2396</v>
      </c>
      <c r="D30" s="74">
        <f>'Sales Target &amp; Actual'!J26</f>
        <v>1288</v>
      </c>
      <c r="E30" s="74">
        <f>'Sales Target &amp; Actual'!K26</f>
        <v>1536</v>
      </c>
      <c r="F30" s="74">
        <f>'Sales Target &amp; Actual'!L26</f>
        <v>1249</v>
      </c>
      <c r="K30" s="73" t="s">
        <v>15</v>
      </c>
      <c r="L30" s="74">
        <f>C30*$I$6</f>
        <v>1521460</v>
      </c>
      <c r="M30" s="74">
        <f t="shared" ref="M30:O30" si="13">D30*$I$6</f>
        <v>817880</v>
      </c>
      <c r="N30" s="74">
        <f t="shared" si="13"/>
        <v>975360</v>
      </c>
      <c r="O30" s="74">
        <f t="shared" si="13"/>
        <v>793115</v>
      </c>
    </row>
    <row r="31" spans="2:15" ht="13" x14ac:dyDescent="0.3">
      <c r="B31" s="73" t="s">
        <v>16</v>
      </c>
      <c r="C31" s="74">
        <f>'Sales Target &amp; Actual'!I27</f>
        <v>3619</v>
      </c>
      <c r="D31" s="74">
        <f>'Sales Target &amp; Actual'!J27</f>
        <v>2086</v>
      </c>
      <c r="E31" s="74">
        <f>'Sales Target &amp; Actual'!K27</f>
        <v>2028</v>
      </c>
      <c r="F31" s="74">
        <f>'Sales Target &amp; Actual'!L27</f>
        <v>2129</v>
      </c>
      <c r="K31" s="73" t="s">
        <v>16</v>
      </c>
      <c r="L31" s="74">
        <f>C31*$I$7</f>
        <v>1990450</v>
      </c>
      <c r="M31" s="74">
        <f t="shared" ref="M31:O31" si="14">D31*$I$7</f>
        <v>1147300</v>
      </c>
      <c r="N31" s="74">
        <f t="shared" si="14"/>
        <v>1115400</v>
      </c>
      <c r="O31" s="74">
        <f t="shared" si="14"/>
        <v>1170950</v>
      </c>
    </row>
    <row r="32" spans="2:15" ht="13" x14ac:dyDescent="0.3">
      <c r="B32" s="73" t="s">
        <v>103</v>
      </c>
      <c r="C32" s="74">
        <f>'Sales Target &amp; Actual'!I28</f>
        <v>878</v>
      </c>
      <c r="D32" s="74">
        <f>'Sales Target &amp; Actual'!J28</f>
        <v>424</v>
      </c>
      <c r="E32" s="74">
        <f>'Sales Target &amp; Actual'!K28</f>
        <v>467</v>
      </c>
      <c r="F32" s="74">
        <f>'Sales Target &amp; Actual'!L28</f>
        <v>665</v>
      </c>
      <c r="K32" s="73" t="s">
        <v>103</v>
      </c>
      <c r="L32" s="74">
        <f>C32*$I$8</f>
        <v>579480</v>
      </c>
      <c r="M32" s="74">
        <f t="shared" ref="M32:O32" si="15">D32*$I$8</f>
        <v>279840</v>
      </c>
      <c r="N32" s="74">
        <f t="shared" si="15"/>
        <v>308220</v>
      </c>
      <c r="O32" s="74">
        <f t="shared" si="15"/>
        <v>438900</v>
      </c>
    </row>
    <row r="33" spans="2:16" ht="13" x14ac:dyDescent="0.3">
      <c r="B33" s="73" t="s">
        <v>17</v>
      </c>
      <c r="C33" s="74">
        <f>'Sales Target &amp; Actual'!I29</f>
        <v>2656</v>
      </c>
      <c r="D33" s="74">
        <f>'Sales Target &amp; Actual'!J29</f>
        <v>1642</v>
      </c>
      <c r="E33" s="74">
        <f>'Sales Target &amp; Actual'!K29</f>
        <v>1729</v>
      </c>
      <c r="F33" s="74">
        <f>'Sales Target &amp; Actual'!L29</f>
        <v>1360</v>
      </c>
      <c r="K33" s="73" t="s">
        <v>17</v>
      </c>
      <c r="L33" s="74">
        <f>C33*$I$9</f>
        <v>796800</v>
      </c>
      <c r="M33" s="74">
        <f t="shared" ref="M33:O33" si="16">D33*$I$9</f>
        <v>492600</v>
      </c>
      <c r="N33" s="74">
        <f t="shared" si="16"/>
        <v>518700</v>
      </c>
      <c r="O33" s="74">
        <f t="shared" si="16"/>
        <v>408000</v>
      </c>
    </row>
    <row r="34" spans="2:16" ht="13" x14ac:dyDescent="0.3">
      <c r="B34" s="73" t="s">
        <v>18</v>
      </c>
      <c r="C34" s="74">
        <f>'Sales Target &amp; Actual'!I30</f>
        <v>1837</v>
      </c>
      <c r="D34" s="74">
        <f>'Sales Target &amp; Actual'!J30</f>
        <v>856</v>
      </c>
      <c r="E34" s="74">
        <f>'Sales Target &amp; Actual'!K30</f>
        <v>998</v>
      </c>
      <c r="F34" s="74">
        <f>'Sales Target &amp; Actual'!L30</f>
        <v>1267</v>
      </c>
      <c r="K34" s="73" t="s">
        <v>18</v>
      </c>
      <c r="L34" s="74">
        <f>C34*$I$10</f>
        <v>900130</v>
      </c>
      <c r="M34" s="74">
        <f t="shared" ref="M34:O34" si="17">D34*$I$10</f>
        <v>419440</v>
      </c>
      <c r="N34" s="74">
        <f t="shared" si="17"/>
        <v>489020</v>
      </c>
      <c r="O34" s="74">
        <f t="shared" si="17"/>
        <v>620830</v>
      </c>
      <c r="P34" s="74"/>
    </row>
    <row r="35" spans="2:16" ht="13" x14ac:dyDescent="0.3">
      <c r="B35" s="73" t="s">
        <v>104</v>
      </c>
      <c r="C35" s="74">
        <f>'Sales Target &amp; Actual'!I31</f>
        <v>2927</v>
      </c>
      <c r="D35" s="74">
        <f>'Sales Target &amp; Actual'!J31</f>
        <v>1462</v>
      </c>
      <c r="E35" s="74">
        <f>'Sales Target &amp; Actual'!K31</f>
        <v>1511</v>
      </c>
      <c r="F35" s="74">
        <f>'Sales Target &amp; Actual'!L31</f>
        <v>1578</v>
      </c>
      <c r="K35" s="73" t="s">
        <v>104</v>
      </c>
      <c r="L35" s="74">
        <f>C35*$I$11</f>
        <v>1580580</v>
      </c>
      <c r="M35" s="74">
        <f t="shared" ref="M35:O35" si="18">D35*$I$11</f>
        <v>789480</v>
      </c>
      <c r="N35" s="74">
        <f t="shared" si="18"/>
        <v>815940</v>
      </c>
      <c r="O35" s="74">
        <f t="shared" si="18"/>
        <v>852120</v>
      </c>
    </row>
    <row r="36" spans="2:16" ht="13" x14ac:dyDescent="0.3">
      <c r="B36" s="73" t="s">
        <v>105</v>
      </c>
      <c r="C36" s="74">
        <f>'Sales Target &amp; Actual'!I32</f>
        <v>2600</v>
      </c>
      <c r="D36" s="74">
        <f>'Sales Target &amp; Actual'!J32</f>
        <v>1210</v>
      </c>
      <c r="E36" s="74">
        <f>'Sales Target &amp; Actual'!K32</f>
        <v>1347</v>
      </c>
      <c r="F36" s="74">
        <f>'Sales Target &amp; Actual'!L32</f>
        <v>1467</v>
      </c>
      <c r="K36" s="73" t="s">
        <v>105</v>
      </c>
      <c r="L36" s="74">
        <f>C36*$I$12</f>
        <v>884000</v>
      </c>
      <c r="M36" s="74">
        <f t="shared" ref="M36:O36" si="19">D36*$I$12</f>
        <v>411400</v>
      </c>
      <c r="N36" s="74">
        <f t="shared" si="19"/>
        <v>457980</v>
      </c>
      <c r="O36" s="74">
        <f t="shared" si="19"/>
        <v>498780</v>
      </c>
    </row>
    <row r="37" spans="2:16" ht="13" x14ac:dyDescent="0.3">
      <c r="B37" s="73" t="s">
        <v>23</v>
      </c>
      <c r="C37" s="77">
        <f>SUM(C30:C36)</f>
        <v>16913</v>
      </c>
      <c r="D37" s="77">
        <f>SUM(D30:D36)</f>
        <v>8968</v>
      </c>
      <c r="E37" s="77">
        <f>SUM(E30:E36)</f>
        <v>9616</v>
      </c>
      <c r="F37" s="77">
        <f>SUM(F30:F36)</f>
        <v>9715</v>
      </c>
      <c r="K37" s="73" t="s">
        <v>23</v>
      </c>
      <c r="L37" s="74">
        <f>SUM(L30:L36)</f>
        <v>8252900</v>
      </c>
      <c r="M37" s="74">
        <f>SUM(M30:M36)</f>
        <v>4357940</v>
      </c>
      <c r="N37" s="74">
        <f>SUM(N30:N36)</f>
        <v>4680620</v>
      </c>
      <c r="O37" s="74">
        <f>SUM(O30:O36)</f>
        <v>4782695</v>
      </c>
    </row>
    <row r="41" spans="2:16" ht="13.5" thickBot="1" x14ac:dyDescent="0.35">
      <c r="K41" s="68" t="s">
        <v>112</v>
      </c>
    </row>
    <row r="42" spans="2:16" ht="13.5" x14ac:dyDescent="0.35">
      <c r="K42" s="78" t="s">
        <v>10</v>
      </c>
      <c r="L42" s="79" t="s">
        <v>2</v>
      </c>
      <c r="M42" s="79" t="s">
        <v>3</v>
      </c>
      <c r="N42" s="79" t="s">
        <v>4</v>
      </c>
      <c r="O42" s="80" t="s">
        <v>5</v>
      </c>
      <c r="P42" s="81" t="s">
        <v>11</v>
      </c>
    </row>
    <row r="43" spans="2:16" ht="13" x14ac:dyDescent="0.3">
      <c r="K43" s="171">
        <f>L4</f>
        <v>2019</v>
      </c>
      <c r="L43" s="82">
        <f>L13</f>
        <v>7187875</v>
      </c>
      <c r="M43" s="82">
        <f>M13</f>
        <v>5497360</v>
      </c>
      <c r="N43" s="82">
        <f>N13</f>
        <v>3461355</v>
      </c>
      <c r="O43" s="82">
        <f>O13</f>
        <v>3058185</v>
      </c>
      <c r="P43" s="83">
        <f>SUM(L43:O43)</f>
        <v>19204775</v>
      </c>
    </row>
    <row r="44" spans="2:16" ht="13" x14ac:dyDescent="0.3">
      <c r="K44" s="171">
        <f>L16</f>
        <v>2020</v>
      </c>
      <c r="L44" s="82">
        <f>L25</f>
        <v>7127170</v>
      </c>
      <c r="M44" s="82">
        <f>M25</f>
        <v>5131710</v>
      </c>
      <c r="N44" s="82">
        <f>N25</f>
        <v>3863560</v>
      </c>
      <c r="O44" s="82">
        <f>O25</f>
        <v>3486755</v>
      </c>
      <c r="P44" s="83">
        <f>SUM(L44:O44)</f>
        <v>19609195</v>
      </c>
    </row>
    <row r="45" spans="2:16" ht="13.5" thickBot="1" x14ac:dyDescent="0.35">
      <c r="K45" s="172">
        <f>L28</f>
        <v>2021</v>
      </c>
      <c r="L45" s="82">
        <f>L37</f>
        <v>8252900</v>
      </c>
      <c r="M45" s="82">
        <f>M37</f>
        <v>4357940</v>
      </c>
      <c r="N45" s="82">
        <f>N37</f>
        <v>4680620</v>
      </c>
      <c r="O45" s="82">
        <f>O37</f>
        <v>4782695</v>
      </c>
      <c r="P45" s="84">
        <f>SUM(L45:O45)</f>
        <v>22074155</v>
      </c>
    </row>
  </sheetData>
  <pageMargins left="0.7" right="0.7" top="0.75" bottom="0.75" header="0.3" footer="0.3"/>
  <pageSetup paperSize="9"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59999389629810485"/>
  </sheetPr>
  <dimension ref="B2:S43"/>
  <sheetViews>
    <sheetView topLeftCell="A32" zoomScaleNormal="100" workbookViewId="0">
      <selection activeCell="E43" sqref="E43"/>
    </sheetView>
  </sheetViews>
  <sheetFormatPr defaultColWidth="9.1796875" defaultRowHeight="12.5" x14ac:dyDescent="0.25"/>
  <cols>
    <col min="1" max="1" width="9.1796875" style="35"/>
    <col min="2" max="2" width="13.1796875" style="35" customWidth="1"/>
    <col min="3" max="3" width="14.1796875" style="35" customWidth="1"/>
    <col min="4" max="4" width="16.453125" style="35" customWidth="1"/>
    <col min="5" max="5" width="16.1796875" style="35" customWidth="1"/>
    <col min="6" max="6" width="20.81640625" style="35" customWidth="1"/>
    <col min="7" max="7" width="14.26953125" style="35" customWidth="1"/>
    <col min="8" max="10" width="9.1796875" style="35"/>
    <col min="11" max="11" width="14.26953125" style="35" customWidth="1"/>
    <col min="12" max="12" width="15.7265625" style="35" customWidth="1"/>
    <col min="13" max="14" width="11.1796875" style="35" customWidth="1"/>
    <col min="15" max="15" width="11.7265625" style="35" customWidth="1"/>
    <col min="16" max="16" width="10.1796875" style="35" customWidth="1"/>
    <col min="17" max="17" width="9" style="35" customWidth="1"/>
    <col min="18" max="18" width="8" style="35" customWidth="1"/>
    <col min="19" max="19" width="14.1796875" style="35" customWidth="1"/>
    <col min="20" max="20" width="10.7265625" style="35" customWidth="1"/>
    <col min="21" max="21" width="10.1796875" style="35" customWidth="1"/>
    <col min="22" max="22" width="9" style="35" customWidth="1"/>
    <col min="23" max="23" width="8" style="35" customWidth="1"/>
    <col min="24" max="24" width="10.81640625" style="35" customWidth="1"/>
    <col min="25" max="25" width="10.7265625" style="35" customWidth="1"/>
    <col min="26" max="26" width="10.1796875" style="35" customWidth="1"/>
    <col min="27" max="27" width="11.7265625" style="35" customWidth="1"/>
    <col min="28" max="28" width="11.7265625" style="35" bestFit="1" customWidth="1"/>
    <col min="29" max="16384" width="9.1796875" style="35"/>
  </cols>
  <sheetData>
    <row r="2" spans="2:19" ht="13" x14ac:dyDescent="0.3">
      <c r="B2" s="68" t="s">
        <v>93</v>
      </c>
    </row>
    <row r="4" spans="2:19" ht="13.5" thickBot="1" x14ac:dyDescent="0.35">
      <c r="B4" s="68" t="s">
        <v>80</v>
      </c>
      <c r="C4" s="6"/>
      <c r="D4" s="6"/>
      <c r="E4" s="6"/>
      <c r="F4" s="6"/>
      <c r="G4" s="174" t="s">
        <v>167</v>
      </c>
    </row>
    <row r="5" spans="2:19" ht="13.5" x14ac:dyDescent="0.35">
      <c r="B5" s="78" t="s">
        <v>10</v>
      </c>
      <c r="C5" s="79" t="s">
        <v>2</v>
      </c>
      <c r="D5" s="79" t="s">
        <v>3</v>
      </c>
      <c r="E5" s="79" t="s">
        <v>4</v>
      </c>
      <c r="F5" s="80" t="s">
        <v>5</v>
      </c>
      <c r="G5" s="80" t="s">
        <v>11</v>
      </c>
    </row>
    <row r="6" spans="2:19" ht="13" x14ac:dyDescent="0.3">
      <c r="B6" s="171">
        <f>'Omega Pty Ltd'!U5</f>
        <v>2019</v>
      </c>
      <c r="C6" s="82">
        <f>'Labour Costs'!C30</f>
        <v>735000</v>
      </c>
      <c r="D6" s="82">
        <f>'Labour Costs'!D30</f>
        <v>677000</v>
      </c>
      <c r="E6" s="82">
        <f>'Labour Costs'!E30</f>
        <v>405000</v>
      </c>
      <c r="F6" s="82">
        <f>'Labour Costs'!F30</f>
        <v>347000</v>
      </c>
      <c r="G6" s="82">
        <f>'Labour Costs'!G30</f>
        <v>2164000</v>
      </c>
      <c r="S6" s="285"/>
    </row>
    <row r="7" spans="2:19" ht="13" x14ac:dyDescent="0.3">
      <c r="B7" s="171">
        <f>'Omega Pty Ltd'!U6</f>
        <v>2020</v>
      </c>
      <c r="C7" s="82">
        <f>'Labour Costs'!C31</f>
        <v>760000</v>
      </c>
      <c r="D7" s="82">
        <f>'Labour Costs'!D31</f>
        <v>700000</v>
      </c>
      <c r="E7" s="82">
        <f>'Labour Costs'!E31</f>
        <v>419000</v>
      </c>
      <c r="F7" s="82">
        <f>'Labour Costs'!F31</f>
        <v>359000</v>
      </c>
      <c r="G7" s="82">
        <f>'Labour Costs'!G31</f>
        <v>2238000</v>
      </c>
    </row>
    <row r="8" spans="2:19" ht="13.5" thickBot="1" x14ac:dyDescent="0.35">
      <c r="B8" s="172">
        <f>'Omega Pty Ltd'!U7</f>
        <v>2021</v>
      </c>
      <c r="C8" s="82">
        <f>'Labour Costs'!C32</f>
        <v>794000</v>
      </c>
      <c r="D8" s="82">
        <f>'Labour Costs'!D32</f>
        <v>731000</v>
      </c>
      <c r="E8" s="82">
        <f>'Labour Costs'!E32</f>
        <v>437000</v>
      </c>
      <c r="F8" s="82">
        <f>'Labour Costs'!F32</f>
        <v>374000</v>
      </c>
      <c r="G8" s="82">
        <f>'Labour Costs'!G32</f>
        <v>2336000</v>
      </c>
    </row>
    <row r="9" spans="2:19" x14ac:dyDescent="0.25">
      <c r="K9" s="286"/>
      <c r="L9" s="287"/>
      <c r="Q9" s="286"/>
      <c r="R9" s="288"/>
    </row>
    <row r="10" spans="2:19" x14ac:dyDescent="0.25">
      <c r="K10" s="286"/>
      <c r="L10" s="287"/>
      <c r="Q10" s="286"/>
      <c r="R10" s="288"/>
    </row>
    <row r="11" spans="2:19" ht="13.5" thickBot="1" x14ac:dyDescent="0.35">
      <c r="B11" s="68" t="s">
        <v>84</v>
      </c>
      <c r="C11" s="68"/>
      <c r="D11" s="68"/>
      <c r="G11" s="174" t="s">
        <v>37</v>
      </c>
      <c r="K11" s="286"/>
      <c r="L11" s="287"/>
      <c r="Q11" s="286"/>
      <c r="R11" s="288"/>
    </row>
    <row r="12" spans="2:19" ht="13.5" x14ac:dyDescent="0.35">
      <c r="B12" s="78" t="s">
        <v>10</v>
      </c>
      <c r="C12" s="79" t="s">
        <v>2</v>
      </c>
      <c r="D12" s="79" t="s">
        <v>3</v>
      </c>
      <c r="E12" s="79" t="s">
        <v>4</v>
      </c>
      <c r="F12" s="80" t="s">
        <v>5</v>
      </c>
      <c r="G12" s="80" t="s">
        <v>11</v>
      </c>
      <c r="K12" s="286"/>
      <c r="L12" s="287"/>
      <c r="Q12" s="286"/>
      <c r="R12" s="288"/>
    </row>
    <row r="13" spans="2:19" ht="13" x14ac:dyDescent="0.3">
      <c r="B13" s="171">
        <f>B6</f>
        <v>2019</v>
      </c>
      <c r="C13" s="82">
        <f>Costs!C20</f>
        <v>300000</v>
      </c>
      <c r="D13" s="82">
        <f>Costs!D20</f>
        <v>285000</v>
      </c>
      <c r="E13" s="82">
        <f>Costs!E20</f>
        <v>130000</v>
      </c>
      <c r="F13" s="82">
        <f>Costs!F20</f>
        <v>115000</v>
      </c>
      <c r="G13" s="82">
        <f>SUM(C13:F13)</f>
        <v>830000</v>
      </c>
      <c r="K13" s="286"/>
      <c r="L13" s="287"/>
      <c r="Q13" s="286"/>
      <c r="R13" s="288"/>
    </row>
    <row r="14" spans="2:19" ht="13" x14ac:dyDescent="0.3">
      <c r="B14" s="171">
        <f>B7</f>
        <v>2020</v>
      </c>
      <c r="C14" s="82">
        <f>Costs!C21</f>
        <v>300000</v>
      </c>
      <c r="D14" s="82">
        <f>Costs!D21</f>
        <v>285000</v>
      </c>
      <c r="E14" s="82">
        <f>Costs!E21</f>
        <v>130000</v>
      </c>
      <c r="F14" s="82">
        <f>Costs!F21</f>
        <v>115000</v>
      </c>
      <c r="G14" s="82">
        <f>SUM(C14:F14)</f>
        <v>830000</v>
      </c>
      <c r="K14" s="286"/>
      <c r="L14" s="287"/>
      <c r="Q14" s="286"/>
      <c r="R14" s="288"/>
    </row>
    <row r="15" spans="2:19" ht="13.5" thickBot="1" x14ac:dyDescent="0.35">
      <c r="B15" s="172">
        <f>B8</f>
        <v>2021</v>
      </c>
      <c r="C15" s="82">
        <f>Costs!C22</f>
        <v>300000</v>
      </c>
      <c r="D15" s="82">
        <f>Costs!D22</f>
        <v>285000</v>
      </c>
      <c r="E15" s="82">
        <f>Costs!E22</f>
        <v>130000</v>
      </c>
      <c r="F15" s="82">
        <f>Costs!F22</f>
        <v>115000</v>
      </c>
      <c r="G15" s="82">
        <f>SUM(C15:F15)</f>
        <v>830000</v>
      </c>
    </row>
    <row r="18" spans="2:15" ht="13.5" thickBot="1" x14ac:dyDescent="0.35">
      <c r="B18" s="68" t="s">
        <v>92</v>
      </c>
      <c r="G18" s="174" t="s">
        <v>39</v>
      </c>
    </row>
    <row r="19" spans="2:15" ht="13.5" x14ac:dyDescent="0.35">
      <c r="B19" s="175" t="s">
        <v>10</v>
      </c>
      <c r="C19" s="79" t="s">
        <v>2</v>
      </c>
      <c r="D19" s="79" t="s">
        <v>3</v>
      </c>
      <c r="E19" s="79" t="s">
        <v>4</v>
      </c>
      <c r="F19" s="80" t="s">
        <v>5</v>
      </c>
      <c r="G19" s="80" t="s">
        <v>11</v>
      </c>
      <c r="K19" s="45"/>
    </row>
    <row r="20" spans="2:15" ht="13" x14ac:dyDescent="0.3">
      <c r="B20" s="171">
        <f>B13</f>
        <v>2019</v>
      </c>
      <c r="C20" s="82">
        <f>'Location VUAOC Cost'!I6</f>
        <v>690144.00000000012</v>
      </c>
      <c r="D20" s="82">
        <f>'Location VUAOC Cost'!J6</f>
        <v>440756.4</v>
      </c>
      <c r="E20" s="82">
        <f>'Location VUAOC Cost'!K6</f>
        <v>315903</v>
      </c>
      <c r="F20" s="82">
        <f>'Location VUAOC Cost'!L6</f>
        <v>185068.80000000002</v>
      </c>
      <c r="G20" s="82">
        <f>'Location VUAOC Cost'!M6</f>
        <v>1631872.2000000002</v>
      </c>
      <c r="L20" s="289"/>
      <c r="O20" s="289"/>
    </row>
    <row r="21" spans="2:15" ht="13" x14ac:dyDescent="0.3">
      <c r="B21" s="171">
        <f>B14</f>
        <v>2020</v>
      </c>
      <c r="C21" s="82">
        <f>'Location VUAOC Cost'!I7</f>
        <v>664263.60000000009</v>
      </c>
      <c r="D21" s="82">
        <f>'Location VUAOC Cost'!J7</f>
        <v>447190.80000000005</v>
      </c>
      <c r="E21" s="82">
        <f>'Location VUAOC Cost'!K7</f>
        <v>306232.5</v>
      </c>
      <c r="F21" s="82">
        <f>'Location VUAOC Cost'!L7</f>
        <v>244188</v>
      </c>
      <c r="G21" s="82">
        <f>'Location VUAOC Cost'!M7</f>
        <v>1661874.9000000001</v>
      </c>
    </row>
    <row r="22" spans="2:15" ht="13.5" thickBot="1" x14ac:dyDescent="0.35">
      <c r="B22" s="172">
        <f>B15</f>
        <v>2021</v>
      </c>
      <c r="C22" s="82">
        <f>'Location VUAOC Cost'!I8</f>
        <v>832486.20000000007</v>
      </c>
      <c r="D22" s="82">
        <f>'Location VUAOC Cost'!J8</f>
        <v>443973.60000000003</v>
      </c>
      <c r="E22" s="82">
        <f>'Location VUAOC Cost'!K8</f>
        <v>464184</v>
      </c>
      <c r="F22" s="82">
        <f>'Location VUAOC Cost'!L8</f>
        <v>280173.60000000003</v>
      </c>
      <c r="G22" s="82">
        <f>'Location VUAOC Cost'!M8</f>
        <v>2020817.4000000001</v>
      </c>
    </row>
    <row r="25" spans="2:15" ht="13.5" thickBot="1" x14ac:dyDescent="0.35">
      <c r="B25" s="68" t="s">
        <v>94</v>
      </c>
      <c r="G25" s="174" t="s">
        <v>38</v>
      </c>
    </row>
    <row r="26" spans="2:15" ht="13.5" x14ac:dyDescent="0.35">
      <c r="B26" s="78" t="s">
        <v>10</v>
      </c>
      <c r="C26" s="79" t="s">
        <v>2</v>
      </c>
      <c r="D26" s="79" t="s">
        <v>3</v>
      </c>
      <c r="E26" s="79" t="s">
        <v>4</v>
      </c>
      <c r="F26" s="80" t="s">
        <v>5</v>
      </c>
      <c r="G26" s="80" t="s">
        <v>11</v>
      </c>
    </row>
    <row r="27" spans="2:15" ht="13" x14ac:dyDescent="0.3">
      <c r="B27" s="171">
        <f>B20</f>
        <v>2019</v>
      </c>
      <c r="C27" s="82">
        <f>Costs!C27</f>
        <v>95000</v>
      </c>
      <c r="D27" s="82">
        <f>Costs!D27</f>
        <v>90000</v>
      </c>
      <c r="E27" s="82">
        <f>Costs!E27</f>
        <v>60000</v>
      </c>
      <c r="F27" s="82">
        <f>Costs!F27</f>
        <v>40000</v>
      </c>
      <c r="G27" s="82">
        <f>SUM(C27:F27)</f>
        <v>285000</v>
      </c>
    </row>
    <row r="28" spans="2:15" ht="13" x14ac:dyDescent="0.3">
      <c r="B28" s="171">
        <f>B21</f>
        <v>2020</v>
      </c>
      <c r="C28" s="82">
        <f>Costs!C28</f>
        <v>95000</v>
      </c>
      <c r="D28" s="82">
        <f>Costs!D28</f>
        <v>85000</v>
      </c>
      <c r="E28" s="82">
        <f>Costs!E28</f>
        <v>70000</v>
      </c>
      <c r="F28" s="82">
        <f>Costs!F28</f>
        <v>40000</v>
      </c>
      <c r="G28" s="82">
        <f>SUM(C28:F28)</f>
        <v>290000</v>
      </c>
    </row>
    <row r="29" spans="2:15" ht="13.5" thickBot="1" x14ac:dyDescent="0.35">
      <c r="B29" s="172">
        <f>B22</f>
        <v>2021</v>
      </c>
      <c r="C29" s="82">
        <f>Costs!C29</f>
        <v>100000</v>
      </c>
      <c r="D29" s="82">
        <f>Costs!D29</f>
        <v>85000</v>
      </c>
      <c r="E29" s="82">
        <f>Costs!E29</f>
        <v>75000</v>
      </c>
      <c r="F29" s="82">
        <f>Costs!F29</f>
        <v>42000</v>
      </c>
      <c r="G29" s="82">
        <f>SUM(C29:F29)</f>
        <v>302000</v>
      </c>
    </row>
    <row r="32" spans="2:15" ht="13.5" thickBot="1" x14ac:dyDescent="0.35">
      <c r="B32" s="68" t="s">
        <v>95</v>
      </c>
      <c r="G32" s="174" t="s">
        <v>86</v>
      </c>
    </row>
    <row r="33" spans="2:7" ht="13.5" x14ac:dyDescent="0.35">
      <c r="B33" s="78" t="s">
        <v>10</v>
      </c>
      <c r="C33" s="79" t="s">
        <v>2</v>
      </c>
      <c r="D33" s="79" t="s">
        <v>3</v>
      </c>
      <c r="E33" s="79" t="s">
        <v>4</v>
      </c>
      <c r="F33" s="80" t="s">
        <v>5</v>
      </c>
      <c r="G33" s="81" t="s">
        <v>11</v>
      </c>
    </row>
    <row r="34" spans="2:7" ht="13" x14ac:dyDescent="0.3">
      <c r="B34" s="171">
        <f>B27</f>
        <v>2019</v>
      </c>
      <c r="C34" s="82">
        <f>COGS!L43</f>
        <v>7187875</v>
      </c>
      <c r="D34" s="82">
        <f>COGS!M43</f>
        <v>5497360</v>
      </c>
      <c r="E34" s="82">
        <f>COGS!N43</f>
        <v>3461355</v>
      </c>
      <c r="F34" s="82">
        <f>COGS!O43</f>
        <v>3058185</v>
      </c>
      <c r="G34" s="83">
        <f>SUM(C34:F34)</f>
        <v>19204775</v>
      </c>
    </row>
    <row r="35" spans="2:7" ht="13" x14ac:dyDescent="0.3">
      <c r="B35" s="171">
        <f>B28</f>
        <v>2020</v>
      </c>
      <c r="C35" s="82">
        <f>COGS!L44</f>
        <v>7127170</v>
      </c>
      <c r="D35" s="82">
        <f>COGS!M44</f>
        <v>5131710</v>
      </c>
      <c r="E35" s="82">
        <f>COGS!N44</f>
        <v>3863560</v>
      </c>
      <c r="F35" s="82">
        <f>COGS!O44</f>
        <v>3486755</v>
      </c>
      <c r="G35" s="83">
        <f>SUM(C35:F35)</f>
        <v>19609195</v>
      </c>
    </row>
    <row r="36" spans="2:7" ht="13.5" thickBot="1" x14ac:dyDescent="0.35">
      <c r="B36" s="172">
        <f>B29</f>
        <v>2021</v>
      </c>
      <c r="C36" s="82">
        <f>COGS!L45</f>
        <v>8252900</v>
      </c>
      <c r="D36" s="82">
        <f>COGS!M45</f>
        <v>4357940</v>
      </c>
      <c r="E36" s="82">
        <f>COGS!N45</f>
        <v>4680620</v>
      </c>
      <c r="F36" s="82">
        <f>COGS!O45</f>
        <v>4782695</v>
      </c>
      <c r="G36" s="83">
        <f>SUM(C36:F36)</f>
        <v>22074155</v>
      </c>
    </row>
    <row r="39" spans="2:7" ht="13.5" thickBot="1" x14ac:dyDescent="0.35">
      <c r="B39" s="68" t="s">
        <v>85</v>
      </c>
    </row>
    <row r="40" spans="2:7" ht="13.5" x14ac:dyDescent="0.35">
      <c r="B40" s="78" t="s">
        <v>10</v>
      </c>
      <c r="C40" s="79" t="s">
        <v>2</v>
      </c>
      <c r="D40" s="79" t="s">
        <v>3</v>
      </c>
      <c r="E40" s="79" t="s">
        <v>4</v>
      </c>
      <c r="F40" s="80" t="s">
        <v>5</v>
      </c>
      <c r="G40" s="81" t="s">
        <v>11</v>
      </c>
    </row>
    <row r="41" spans="2:7" ht="13" x14ac:dyDescent="0.3">
      <c r="B41" s="171">
        <f>B34</f>
        <v>2019</v>
      </c>
      <c r="C41" s="82">
        <f>C6+C13+C20+C27+C34</f>
        <v>9008019</v>
      </c>
      <c r="D41" s="82">
        <f>D6+D13+D20+D27+D34</f>
        <v>6990116.4000000004</v>
      </c>
      <c r="E41" s="82">
        <f>E6+E13+E20+E27+E34</f>
        <v>4372258</v>
      </c>
      <c r="F41" s="82">
        <f>F6+F13+F20+F27+F34</f>
        <v>3745253.8</v>
      </c>
      <c r="G41" s="83">
        <f>SUM(C41:F41)</f>
        <v>24115647.199999999</v>
      </c>
    </row>
    <row r="42" spans="2:7" ht="13" x14ac:dyDescent="0.3">
      <c r="B42" s="171">
        <f>B35</f>
        <v>2020</v>
      </c>
      <c r="C42" s="82">
        <f t="shared" ref="C42:F43" si="0">C7+C14+C21+C28+C35</f>
        <v>8946433.5999999996</v>
      </c>
      <c r="D42" s="82">
        <f t="shared" si="0"/>
        <v>6648900.7999999998</v>
      </c>
      <c r="E42" s="82">
        <f t="shared" si="0"/>
        <v>4788792.5</v>
      </c>
      <c r="F42" s="82">
        <f t="shared" si="0"/>
        <v>4244943</v>
      </c>
      <c r="G42" s="83">
        <f>SUM(C42:F42)</f>
        <v>24629069.899999999</v>
      </c>
    </row>
    <row r="43" spans="2:7" ht="13.5" thickBot="1" x14ac:dyDescent="0.35">
      <c r="B43" s="172">
        <f>B36</f>
        <v>2021</v>
      </c>
      <c r="C43" s="82">
        <f t="shared" si="0"/>
        <v>10279386.199999999</v>
      </c>
      <c r="D43" s="82">
        <f t="shared" si="0"/>
        <v>5902913.5999999996</v>
      </c>
      <c r="E43" s="82">
        <f t="shared" si="0"/>
        <v>5786804</v>
      </c>
      <c r="F43" s="82">
        <f t="shared" si="0"/>
        <v>5593868.5999999996</v>
      </c>
      <c r="G43" s="83">
        <f>SUM(C43:F43)</f>
        <v>27562972.399999999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tint="0.59999389629810485"/>
    <pageSetUpPr fitToPage="1"/>
  </sheetPr>
  <dimension ref="B1:P54"/>
  <sheetViews>
    <sheetView topLeftCell="G12" zoomScaleNormal="100" workbookViewId="0">
      <selection activeCell="F41" sqref="F41"/>
    </sheetView>
  </sheetViews>
  <sheetFormatPr defaultColWidth="9.1796875" defaultRowHeight="12.5" x14ac:dyDescent="0.25"/>
  <cols>
    <col min="1" max="1" width="9.1796875" style="35"/>
    <col min="2" max="2" width="20.1796875" style="35" customWidth="1"/>
    <col min="3" max="3" width="14" style="35" customWidth="1"/>
    <col min="4" max="4" width="16" style="35" customWidth="1"/>
    <col min="5" max="5" width="12.81640625" style="35" customWidth="1"/>
    <col min="6" max="6" width="13.54296875" style="35" customWidth="1"/>
    <col min="7" max="7" width="15.26953125" style="35" customWidth="1"/>
    <col min="8" max="8" width="25.54296875" style="35" customWidth="1"/>
    <col min="9" max="9" width="17.453125" style="35" customWidth="1"/>
    <col min="10" max="10" width="11.1796875" style="35" customWidth="1"/>
    <col min="11" max="11" width="18.453125" style="35" customWidth="1"/>
    <col min="12" max="12" width="11.1796875" style="35" customWidth="1"/>
    <col min="13" max="13" width="11.7265625" style="35" customWidth="1"/>
    <col min="14" max="14" width="14.7265625" style="35" customWidth="1"/>
    <col min="15" max="16" width="20.26953125" style="35" customWidth="1"/>
    <col min="17" max="17" width="11.7265625" style="35" customWidth="1"/>
    <col min="18" max="18" width="15.7265625" style="35" customWidth="1"/>
    <col min="19" max="16384" width="9.1796875" style="35"/>
  </cols>
  <sheetData>
    <row r="1" spans="2:16" ht="13" x14ac:dyDescent="0.3">
      <c r="B1" s="68" t="s">
        <v>24</v>
      </c>
    </row>
    <row r="3" spans="2:16" ht="13" x14ac:dyDescent="0.3">
      <c r="B3" s="6" t="s">
        <v>161</v>
      </c>
      <c r="C3" s="6"/>
      <c r="D3" s="6"/>
      <c r="E3" s="284">
        <f>'Omega Pty Ltd'!U5</f>
        <v>2019</v>
      </c>
      <c r="F3" s="6"/>
      <c r="H3" s="284" t="s">
        <v>108</v>
      </c>
      <c r="I3" s="68"/>
      <c r="K3" s="68" t="s">
        <v>165</v>
      </c>
      <c r="L3" s="284">
        <f>E3</f>
        <v>2019</v>
      </c>
      <c r="M3" s="6"/>
      <c r="N3" s="6"/>
      <c r="O3" s="6"/>
    </row>
    <row r="4" spans="2:16" ht="13.5" x14ac:dyDescent="0.35">
      <c r="B4" s="69" t="s">
        <v>14</v>
      </c>
      <c r="C4" s="70" t="s">
        <v>2</v>
      </c>
      <c r="D4" s="70" t="s">
        <v>3</v>
      </c>
      <c r="E4" s="70" t="s">
        <v>4</v>
      </c>
      <c r="F4" s="70" t="s">
        <v>5</v>
      </c>
      <c r="H4" s="71" t="s">
        <v>14</v>
      </c>
      <c r="I4" s="72" t="s">
        <v>109</v>
      </c>
      <c r="K4" s="69" t="s">
        <v>14</v>
      </c>
      <c r="L4" s="70" t="s">
        <v>2</v>
      </c>
      <c r="M4" s="70" t="s">
        <v>3</v>
      </c>
      <c r="N4" s="70" t="s">
        <v>4</v>
      </c>
      <c r="O4" s="70" t="s">
        <v>5</v>
      </c>
    </row>
    <row r="5" spans="2:16" ht="13" x14ac:dyDescent="0.3">
      <c r="B5" s="73" t="s">
        <v>15</v>
      </c>
      <c r="C5" s="74">
        <f>'Sales Target &amp; Actual'!I4</f>
        <v>1837</v>
      </c>
      <c r="D5" s="74">
        <f>'Sales Target &amp; Actual'!J4</f>
        <v>1316</v>
      </c>
      <c r="E5" s="74">
        <f>'Sales Target &amp; Actual'!K4</f>
        <v>871</v>
      </c>
      <c r="F5" s="74">
        <f>'Sales Target &amp; Actual'!L4</f>
        <v>683</v>
      </c>
      <c r="H5" s="75" t="s">
        <v>15</v>
      </c>
      <c r="I5" s="99">
        <f>'Sales Target &amp; Actual'!O4</f>
        <v>750</v>
      </c>
      <c r="K5" s="73" t="s">
        <v>15</v>
      </c>
      <c r="L5" s="74">
        <f>C5*$I$5</f>
        <v>1377750</v>
      </c>
      <c r="M5" s="74">
        <f t="shared" ref="M5:O5" si="0">D5*$I$5</f>
        <v>987000</v>
      </c>
      <c r="N5" s="74">
        <f t="shared" si="0"/>
        <v>653250</v>
      </c>
      <c r="O5" s="74">
        <f t="shared" si="0"/>
        <v>512250</v>
      </c>
    </row>
    <row r="6" spans="2:16" ht="13" x14ac:dyDescent="0.3">
      <c r="B6" s="73" t="s">
        <v>16</v>
      </c>
      <c r="C6" s="74">
        <f>'Sales Target &amp; Actual'!I5</f>
        <v>3398</v>
      </c>
      <c r="D6" s="74">
        <f>'Sales Target &amp; Actual'!J5</f>
        <v>2790</v>
      </c>
      <c r="E6" s="74">
        <f>'Sales Target &amp; Actual'!K5</f>
        <v>1571</v>
      </c>
      <c r="F6" s="74">
        <f>'Sales Target &amp; Actual'!L5</f>
        <v>1246</v>
      </c>
      <c r="H6" s="73" t="s">
        <v>16</v>
      </c>
      <c r="I6" s="99">
        <f>'Sales Target &amp; Actual'!O5</f>
        <v>650</v>
      </c>
      <c r="K6" s="73" t="s">
        <v>16</v>
      </c>
      <c r="L6" s="74">
        <f>C6*$I$6</f>
        <v>2208700</v>
      </c>
      <c r="M6" s="74">
        <f t="shared" ref="M6:O6" si="1">D6*$I$6</f>
        <v>1813500</v>
      </c>
      <c r="N6" s="74">
        <f t="shared" si="1"/>
        <v>1021150</v>
      </c>
      <c r="O6" s="74">
        <f t="shared" si="1"/>
        <v>809900</v>
      </c>
    </row>
    <row r="7" spans="2:16" ht="13" x14ac:dyDescent="0.3">
      <c r="B7" s="73" t="s">
        <v>103</v>
      </c>
      <c r="C7" s="74">
        <f>'Sales Target &amp; Actual'!I6</f>
        <v>884</v>
      </c>
      <c r="D7" s="74">
        <f>'Sales Target &amp; Actual'!J6</f>
        <v>542</v>
      </c>
      <c r="E7" s="74">
        <f>'Sales Target &amp; Actual'!K6</f>
        <v>516</v>
      </c>
      <c r="F7" s="74">
        <f>'Sales Target &amp; Actual'!L6</f>
        <v>640</v>
      </c>
      <c r="H7" s="73" t="s">
        <v>103</v>
      </c>
      <c r="I7" s="99">
        <f>'Sales Target &amp; Actual'!O6</f>
        <v>850</v>
      </c>
      <c r="K7" s="73" t="s">
        <v>103</v>
      </c>
      <c r="L7" s="74">
        <f>C7*$I$7</f>
        <v>751400</v>
      </c>
      <c r="M7" s="74">
        <f t="shared" ref="M7:O7" si="2">D7*$I$7</f>
        <v>460700</v>
      </c>
      <c r="N7" s="74">
        <f t="shared" si="2"/>
        <v>438600</v>
      </c>
      <c r="O7" s="74">
        <f t="shared" si="2"/>
        <v>544000</v>
      </c>
    </row>
    <row r="8" spans="2:16" ht="13" x14ac:dyDescent="0.3">
      <c r="B8" s="73" t="s">
        <v>17</v>
      </c>
      <c r="C8" s="74">
        <f>'Sales Target &amp; Actual'!I7</f>
        <v>2487</v>
      </c>
      <c r="D8" s="74">
        <f>'Sales Target &amp; Actual'!J7</f>
        <v>1968</v>
      </c>
      <c r="E8" s="74">
        <f>'Sales Target &amp; Actual'!K7</f>
        <v>1255</v>
      </c>
      <c r="F8" s="74">
        <f>'Sales Target &amp; Actual'!L7</f>
        <v>1150</v>
      </c>
      <c r="H8" s="73" t="s">
        <v>17</v>
      </c>
      <c r="I8" s="99">
        <f>'Sales Target &amp; Actual'!O7</f>
        <v>400</v>
      </c>
      <c r="K8" s="73" t="s">
        <v>17</v>
      </c>
      <c r="L8" s="74">
        <f>C8*$I$8</f>
        <v>994800</v>
      </c>
      <c r="M8" s="74">
        <f t="shared" ref="M8:O8" si="3">D8*$I$8</f>
        <v>787200</v>
      </c>
      <c r="N8" s="74">
        <f t="shared" si="3"/>
        <v>502000</v>
      </c>
      <c r="O8" s="74">
        <f t="shared" si="3"/>
        <v>460000</v>
      </c>
    </row>
    <row r="9" spans="2:16" ht="13" x14ac:dyDescent="0.3">
      <c r="B9" s="73" t="s">
        <v>18</v>
      </c>
      <c r="C9" s="74">
        <f>'Sales Target &amp; Actual'!I8</f>
        <v>1712</v>
      </c>
      <c r="D9" s="74">
        <f>'Sales Target &amp; Actual'!J8</f>
        <v>1364</v>
      </c>
      <c r="E9" s="74">
        <f>'Sales Target &amp; Actual'!K8</f>
        <v>714</v>
      </c>
      <c r="F9" s="74">
        <f>'Sales Target &amp; Actual'!L8</f>
        <v>686</v>
      </c>
      <c r="H9" s="73" t="s">
        <v>18</v>
      </c>
      <c r="I9" s="99">
        <f>'Sales Target &amp; Actual'!O8</f>
        <v>700</v>
      </c>
      <c r="K9" s="73" t="s">
        <v>18</v>
      </c>
      <c r="L9" s="74">
        <f>C9*$I$9</f>
        <v>1198400</v>
      </c>
      <c r="M9" s="74">
        <f t="shared" ref="M9:O9" si="4">D9*$I$9</f>
        <v>954800</v>
      </c>
      <c r="N9" s="74">
        <f t="shared" si="4"/>
        <v>499800</v>
      </c>
      <c r="O9" s="74">
        <f t="shared" si="4"/>
        <v>480200</v>
      </c>
    </row>
    <row r="10" spans="2:16" ht="13" x14ac:dyDescent="0.3">
      <c r="B10" s="73" t="s">
        <v>104</v>
      </c>
      <c r="C10" s="74">
        <f>'Sales Target &amp; Actual'!I9</f>
        <v>2238</v>
      </c>
      <c r="D10" s="74">
        <f>'Sales Target &amp; Actual'!J9</f>
        <v>1709</v>
      </c>
      <c r="E10" s="74">
        <f>'Sales Target &amp; Actual'!K9</f>
        <v>1104</v>
      </c>
      <c r="F10" s="74">
        <f>'Sales Target &amp; Actual'!L9</f>
        <v>972</v>
      </c>
      <c r="H10" s="73" t="s">
        <v>104</v>
      </c>
      <c r="I10" s="99">
        <f>'Sales Target &amp; Actual'!O9</f>
        <v>800</v>
      </c>
      <c r="K10" s="73" t="s">
        <v>104</v>
      </c>
      <c r="L10" s="74">
        <f>C10*$I$10</f>
        <v>1790400</v>
      </c>
      <c r="M10" s="74">
        <f t="shared" ref="M10:O10" si="5">D10*$I$10</f>
        <v>1367200</v>
      </c>
      <c r="N10" s="74">
        <f t="shared" si="5"/>
        <v>883200</v>
      </c>
      <c r="O10" s="74">
        <f t="shared" si="5"/>
        <v>777600</v>
      </c>
    </row>
    <row r="11" spans="2:16" ht="13" x14ac:dyDescent="0.3">
      <c r="B11" s="73" t="s">
        <v>105</v>
      </c>
      <c r="C11" s="74">
        <f>'Sales Target &amp; Actual'!I10</f>
        <v>2281</v>
      </c>
      <c r="D11" s="74">
        <f>'Sales Target &amp; Actual'!J10</f>
        <v>1729</v>
      </c>
      <c r="E11" s="74">
        <f>'Sales Target &amp; Actual'!K10</f>
        <v>1121</v>
      </c>
      <c r="F11" s="74">
        <f>'Sales Target &amp; Actual'!L10</f>
        <v>914</v>
      </c>
      <c r="H11" s="73" t="s">
        <v>105</v>
      </c>
      <c r="I11" s="99">
        <f>'Sales Target &amp; Actual'!O10</f>
        <v>480</v>
      </c>
      <c r="K11" s="73" t="s">
        <v>105</v>
      </c>
      <c r="L11" s="74">
        <f>C11*$I$11</f>
        <v>1094880</v>
      </c>
      <c r="M11" s="74">
        <f t="shared" ref="M11:O11" si="6">D11*$I$11</f>
        <v>829920</v>
      </c>
      <c r="N11" s="74">
        <f t="shared" si="6"/>
        <v>538080</v>
      </c>
      <c r="O11" s="74">
        <f t="shared" si="6"/>
        <v>438720</v>
      </c>
      <c r="P11" s="74"/>
    </row>
    <row r="12" spans="2:16" ht="13" x14ac:dyDescent="0.3">
      <c r="B12" s="73" t="s">
        <v>23</v>
      </c>
      <c r="C12" s="74">
        <f>SUM(C5:C11)</f>
        <v>14837</v>
      </c>
      <c r="D12" s="74">
        <f>SUM(D5:D11)</f>
        <v>11418</v>
      </c>
      <c r="E12" s="74">
        <f>SUM(E5:E11)</f>
        <v>7152</v>
      </c>
      <c r="F12" s="74">
        <f>SUM(F5:F11)</f>
        <v>6291</v>
      </c>
      <c r="K12" s="73" t="s">
        <v>23</v>
      </c>
      <c r="L12" s="74">
        <f>SUM(L5:L11)</f>
        <v>9416330</v>
      </c>
      <c r="M12" s="74">
        <f>SUM(M5:M11)</f>
        <v>7200320</v>
      </c>
      <c r="N12" s="74">
        <f>SUM(N5:N11)</f>
        <v>4536080</v>
      </c>
      <c r="O12" s="74">
        <f>SUM(O5:O11)</f>
        <v>4022670</v>
      </c>
    </row>
    <row r="15" spans="2:16" ht="13" x14ac:dyDescent="0.3">
      <c r="B15" s="6" t="s">
        <v>161</v>
      </c>
      <c r="C15" s="6"/>
      <c r="D15" s="6"/>
      <c r="E15" s="284">
        <f>'Omega Pty Ltd'!U6</f>
        <v>2020</v>
      </c>
      <c r="F15" s="6"/>
      <c r="K15" s="68" t="s">
        <v>165</v>
      </c>
      <c r="L15" s="284">
        <f>E15</f>
        <v>2020</v>
      </c>
      <c r="M15" s="6"/>
      <c r="N15" s="6"/>
      <c r="O15" s="6"/>
    </row>
    <row r="16" spans="2:16" ht="13.5" x14ac:dyDescent="0.35">
      <c r="B16" s="69" t="s">
        <v>14</v>
      </c>
      <c r="C16" s="70" t="s">
        <v>2</v>
      </c>
      <c r="D16" s="70" t="s">
        <v>3</v>
      </c>
      <c r="E16" s="70" t="s">
        <v>4</v>
      </c>
      <c r="F16" s="70" t="s">
        <v>5</v>
      </c>
      <c r="K16" s="69" t="s">
        <v>14</v>
      </c>
      <c r="L16" s="70" t="s">
        <v>2</v>
      </c>
      <c r="M16" s="70" t="s">
        <v>3</v>
      </c>
      <c r="N16" s="70" t="s">
        <v>4</v>
      </c>
      <c r="O16" s="70" t="s">
        <v>5</v>
      </c>
    </row>
    <row r="17" spans="2:15" ht="13" x14ac:dyDescent="0.3">
      <c r="B17" s="73" t="s">
        <v>15</v>
      </c>
      <c r="C17" s="74">
        <f>'Sales Target &amp; Actual'!I15</f>
        <v>1928</v>
      </c>
      <c r="D17" s="74">
        <f>'Sales Target &amp; Actual'!J15</f>
        <v>1512</v>
      </c>
      <c r="E17" s="74">
        <f>'Sales Target &amp; Actual'!K15</f>
        <v>1116</v>
      </c>
      <c r="F17" s="74">
        <f>'Sales Target &amp; Actual'!L15</f>
        <v>1073</v>
      </c>
      <c r="K17" s="73" t="s">
        <v>15</v>
      </c>
      <c r="L17" s="74">
        <f>C17*$I$5</f>
        <v>1446000</v>
      </c>
      <c r="M17" s="74">
        <f>D17*$I$5</f>
        <v>1134000</v>
      </c>
      <c r="N17" s="74">
        <f>E17*$I$5</f>
        <v>837000</v>
      </c>
      <c r="O17" s="74">
        <f>F17*$I$5</f>
        <v>804750</v>
      </c>
    </row>
    <row r="18" spans="2:15" ht="13" x14ac:dyDescent="0.3">
      <c r="B18" s="73" t="s">
        <v>16</v>
      </c>
      <c r="C18" s="74">
        <f>'Sales Target &amp; Actual'!I16</f>
        <v>3088</v>
      </c>
      <c r="D18" s="74">
        <f>'Sales Target &amp; Actual'!J16</f>
        <v>2260</v>
      </c>
      <c r="E18" s="74">
        <f>'Sales Target &amp; Actual'!K16</f>
        <v>1710</v>
      </c>
      <c r="F18" s="74">
        <f>'Sales Target &amp; Actual'!L16</f>
        <v>1455</v>
      </c>
      <c r="K18" s="73" t="s">
        <v>16</v>
      </c>
      <c r="L18" s="74">
        <f>C18*$I$6</f>
        <v>2007200</v>
      </c>
      <c r="M18" s="74">
        <f t="shared" ref="M18:O18" si="7">D18*$I$6</f>
        <v>1469000</v>
      </c>
      <c r="N18" s="74">
        <f t="shared" si="7"/>
        <v>1111500</v>
      </c>
      <c r="O18" s="74">
        <f t="shared" si="7"/>
        <v>945750</v>
      </c>
    </row>
    <row r="19" spans="2:15" ht="13" x14ac:dyDescent="0.3">
      <c r="B19" s="73" t="s">
        <v>103</v>
      </c>
      <c r="C19" s="74">
        <f>'Sales Target &amp; Actual'!I17</f>
        <v>769</v>
      </c>
      <c r="D19" s="74">
        <f>'Sales Target &amp; Actual'!J17</f>
        <v>679</v>
      </c>
      <c r="E19" s="74">
        <f>'Sales Target &amp; Actual'!K17</f>
        <v>589</v>
      </c>
      <c r="F19" s="74">
        <f>'Sales Target &amp; Actual'!L17</f>
        <v>601</v>
      </c>
      <c r="K19" s="73" t="s">
        <v>103</v>
      </c>
      <c r="L19" s="74">
        <f>C19*$I$7</f>
        <v>653650</v>
      </c>
      <c r="M19" s="74">
        <f t="shared" ref="M19:O19" si="8">D19*$I$7</f>
        <v>577150</v>
      </c>
      <c r="N19" s="74">
        <f t="shared" si="8"/>
        <v>500650</v>
      </c>
      <c r="O19" s="74">
        <f t="shared" si="8"/>
        <v>510850</v>
      </c>
    </row>
    <row r="20" spans="2:15" ht="13" x14ac:dyDescent="0.3">
      <c r="B20" s="73" t="s">
        <v>17</v>
      </c>
      <c r="C20" s="74">
        <f>'Sales Target &amp; Actual'!I18</f>
        <v>2740</v>
      </c>
      <c r="D20" s="74">
        <f>'Sales Target &amp; Actual'!J18</f>
        <v>1927</v>
      </c>
      <c r="E20" s="74">
        <f>'Sales Target &amp; Actual'!K18</f>
        <v>1310</v>
      </c>
      <c r="F20" s="74">
        <f>'Sales Target &amp; Actual'!L18</f>
        <v>1066</v>
      </c>
      <c r="K20" s="73" t="s">
        <v>17</v>
      </c>
      <c r="L20" s="74">
        <f>C20*$I$8</f>
        <v>1096000</v>
      </c>
      <c r="M20" s="74">
        <f t="shared" ref="M20:O20" si="9">D20*$I$8</f>
        <v>770800</v>
      </c>
      <c r="N20" s="74">
        <f t="shared" si="9"/>
        <v>524000</v>
      </c>
      <c r="O20" s="74">
        <f t="shared" si="9"/>
        <v>426400</v>
      </c>
    </row>
    <row r="21" spans="2:15" ht="13" x14ac:dyDescent="0.3">
      <c r="B21" s="73" t="s">
        <v>18</v>
      </c>
      <c r="C21" s="74">
        <f>'Sales Target &amp; Actual'!I19</f>
        <v>1655</v>
      </c>
      <c r="D21" s="74">
        <f>'Sales Target &amp; Actual'!J19</f>
        <v>1057</v>
      </c>
      <c r="E21" s="74">
        <f>'Sales Target &amp; Actual'!K19</f>
        <v>768</v>
      </c>
      <c r="F21" s="74">
        <f>'Sales Target &amp; Actual'!L19</f>
        <v>779</v>
      </c>
      <c r="K21" s="73" t="s">
        <v>18</v>
      </c>
      <c r="L21" s="74">
        <f>C21*$I$9</f>
        <v>1158500</v>
      </c>
      <c r="M21" s="74">
        <f t="shared" ref="M21:O21" si="10">D21*$I$9</f>
        <v>739900</v>
      </c>
      <c r="N21" s="74">
        <f t="shared" si="10"/>
        <v>537600</v>
      </c>
      <c r="O21" s="74">
        <f t="shared" si="10"/>
        <v>545300</v>
      </c>
    </row>
    <row r="22" spans="2:15" ht="13" x14ac:dyDescent="0.3">
      <c r="B22" s="73" t="s">
        <v>104</v>
      </c>
      <c r="C22" s="74">
        <f>'Sales Target &amp; Actual'!I20</f>
        <v>2381</v>
      </c>
      <c r="D22" s="74">
        <f>'Sales Target &amp; Actual'!J20</f>
        <v>1579</v>
      </c>
      <c r="E22" s="74">
        <f>'Sales Target &amp; Actual'!K20</f>
        <v>1200</v>
      </c>
      <c r="F22" s="74">
        <f>'Sales Target &amp; Actual'!L20</f>
        <v>1123</v>
      </c>
      <c r="K22" s="73" t="s">
        <v>104</v>
      </c>
      <c r="L22" s="74">
        <f>C22*$I$10</f>
        <v>1904800</v>
      </c>
      <c r="M22" s="74">
        <f t="shared" ref="M22:O22" si="11">D22*$I$10</f>
        <v>1263200</v>
      </c>
      <c r="N22" s="74">
        <f t="shared" si="11"/>
        <v>960000</v>
      </c>
      <c r="O22" s="74">
        <f t="shared" si="11"/>
        <v>898400</v>
      </c>
    </row>
    <row r="23" spans="2:15" ht="13" x14ac:dyDescent="0.3">
      <c r="B23" s="73" t="s">
        <v>105</v>
      </c>
      <c r="C23" s="74">
        <f>'Sales Target &amp; Actual'!I21</f>
        <v>2289</v>
      </c>
      <c r="D23" s="74">
        <f>'Sales Target &amp; Actual'!J21</f>
        <v>1564</v>
      </c>
      <c r="E23" s="74">
        <f>'Sales Target &amp; Actual'!K21</f>
        <v>1201</v>
      </c>
      <c r="F23" s="74">
        <f>'Sales Target &amp; Actual'!L21</f>
        <v>884</v>
      </c>
      <c r="K23" s="73" t="s">
        <v>105</v>
      </c>
      <c r="L23" s="74">
        <f>C23*$I$11</f>
        <v>1098720</v>
      </c>
      <c r="M23" s="74">
        <f t="shared" ref="M23:O23" si="12">D23*$I$11</f>
        <v>750720</v>
      </c>
      <c r="N23" s="74">
        <f t="shared" si="12"/>
        <v>576480</v>
      </c>
      <c r="O23" s="74">
        <f t="shared" si="12"/>
        <v>424320</v>
      </c>
    </row>
    <row r="24" spans="2:15" ht="13" x14ac:dyDescent="0.3">
      <c r="B24" s="73" t="s">
        <v>23</v>
      </c>
      <c r="C24" s="74">
        <f>SUM(C17:C23)</f>
        <v>14850</v>
      </c>
      <c r="D24" s="74">
        <f>SUM(D17:D23)</f>
        <v>10578</v>
      </c>
      <c r="E24" s="74">
        <f>SUM(E17:E23)</f>
        <v>7894</v>
      </c>
      <c r="F24" s="74">
        <f>SUM(F17:F23)</f>
        <v>6981</v>
      </c>
      <c r="K24" s="73" t="s">
        <v>23</v>
      </c>
      <c r="L24" s="74">
        <f>SUM(L17:L23)</f>
        <v>9364870</v>
      </c>
      <c r="M24" s="74">
        <f>SUM(M17:M23)</f>
        <v>6704770</v>
      </c>
      <c r="N24" s="74">
        <f>SUM(N17:N23)</f>
        <v>5047230</v>
      </c>
      <c r="O24" s="74">
        <f>SUM(O17:O23)</f>
        <v>4555770</v>
      </c>
    </row>
    <row r="27" spans="2:15" ht="13" x14ac:dyDescent="0.3">
      <c r="B27" s="6" t="s">
        <v>161</v>
      </c>
      <c r="C27" s="6"/>
      <c r="D27" s="6"/>
      <c r="E27" s="284">
        <f>'Omega Pty Ltd'!U7</f>
        <v>2021</v>
      </c>
      <c r="F27" s="6"/>
      <c r="K27" s="68" t="s">
        <v>166</v>
      </c>
      <c r="L27" s="284">
        <f>E27</f>
        <v>2021</v>
      </c>
      <c r="M27" s="6"/>
      <c r="N27" s="6"/>
      <c r="O27" s="6"/>
    </row>
    <row r="28" spans="2:15" ht="13.5" x14ac:dyDescent="0.35">
      <c r="B28" s="69" t="s">
        <v>14</v>
      </c>
      <c r="C28" s="70" t="s">
        <v>2</v>
      </c>
      <c r="D28" s="70" t="s">
        <v>3</v>
      </c>
      <c r="E28" s="70" t="s">
        <v>4</v>
      </c>
      <c r="F28" s="70" t="s">
        <v>5</v>
      </c>
      <c r="K28" s="69" t="s">
        <v>14</v>
      </c>
      <c r="L28" s="70" t="s">
        <v>2</v>
      </c>
      <c r="M28" s="70" t="s">
        <v>3</v>
      </c>
      <c r="N28" s="70" t="s">
        <v>4</v>
      </c>
      <c r="O28" s="70" t="s">
        <v>5</v>
      </c>
    </row>
    <row r="29" spans="2:15" ht="13" x14ac:dyDescent="0.3">
      <c r="B29" s="73" t="s">
        <v>15</v>
      </c>
      <c r="C29" s="74">
        <f>'Sales Target &amp; Actual'!I26</f>
        <v>2396</v>
      </c>
      <c r="D29" s="74">
        <f>'Sales Target &amp; Actual'!J26</f>
        <v>1288</v>
      </c>
      <c r="E29" s="74">
        <f>'Sales Target &amp; Actual'!K26</f>
        <v>1536</v>
      </c>
      <c r="F29" s="74">
        <f>'Sales Target &amp; Actual'!L26</f>
        <v>1249</v>
      </c>
      <c r="K29" s="73" t="s">
        <v>15</v>
      </c>
      <c r="L29" s="74">
        <f>C29*$I$5</f>
        <v>1797000</v>
      </c>
      <c r="M29" s="74">
        <f t="shared" ref="M29:O29" si="13">D29*$I$5</f>
        <v>966000</v>
      </c>
      <c r="N29" s="74">
        <f t="shared" si="13"/>
        <v>1152000</v>
      </c>
      <c r="O29" s="74">
        <f t="shared" si="13"/>
        <v>936750</v>
      </c>
    </row>
    <row r="30" spans="2:15" ht="13" x14ac:dyDescent="0.3">
      <c r="B30" s="73" t="s">
        <v>16</v>
      </c>
      <c r="C30" s="74">
        <f>'Sales Target &amp; Actual'!I27</f>
        <v>3619</v>
      </c>
      <c r="D30" s="74">
        <f>'Sales Target &amp; Actual'!J27</f>
        <v>2086</v>
      </c>
      <c r="E30" s="74">
        <f>'Sales Target &amp; Actual'!K27</f>
        <v>2028</v>
      </c>
      <c r="F30" s="74">
        <f>'Sales Target &amp; Actual'!L27</f>
        <v>2129</v>
      </c>
      <c r="K30" s="73" t="s">
        <v>16</v>
      </c>
      <c r="L30" s="74">
        <f>C30*$I$6</f>
        <v>2352350</v>
      </c>
      <c r="M30" s="74">
        <f t="shared" ref="M30:O30" si="14">D30*$I$6</f>
        <v>1355900</v>
      </c>
      <c r="N30" s="74">
        <f t="shared" si="14"/>
        <v>1318200</v>
      </c>
      <c r="O30" s="74">
        <f t="shared" si="14"/>
        <v>1383850</v>
      </c>
    </row>
    <row r="31" spans="2:15" ht="13" x14ac:dyDescent="0.3">
      <c r="B31" s="73" t="s">
        <v>103</v>
      </c>
      <c r="C31" s="74">
        <f>'Sales Target &amp; Actual'!I28</f>
        <v>878</v>
      </c>
      <c r="D31" s="74">
        <f>'Sales Target &amp; Actual'!J28</f>
        <v>424</v>
      </c>
      <c r="E31" s="74">
        <f>'Sales Target &amp; Actual'!K28</f>
        <v>467</v>
      </c>
      <c r="F31" s="74">
        <f>'Sales Target &amp; Actual'!L28</f>
        <v>665</v>
      </c>
      <c r="K31" s="73" t="s">
        <v>103</v>
      </c>
      <c r="L31" s="74">
        <f>C31*$I$7</f>
        <v>746300</v>
      </c>
      <c r="M31" s="74">
        <f t="shared" ref="M31:O31" si="15">D31*$I$7</f>
        <v>360400</v>
      </c>
      <c r="N31" s="74">
        <f t="shared" si="15"/>
        <v>396950</v>
      </c>
      <c r="O31" s="74">
        <f t="shared" si="15"/>
        <v>565250</v>
      </c>
    </row>
    <row r="32" spans="2:15" ht="13" x14ac:dyDescent="0.3">
      <c r="B32" s="73" t="s">
        <v>17</v>
      </c>
      <c r="C32" s="74">
        <f>'Sales Target &amp; Actual'!I29</f>
        <v>2656</v>
      </c>
      <c r="D32" s="74">
        <f>'Sales Target &amp; Actual'!J29</f>
        <v>1642</v>
      </c>
      <c r="E32" s="74">
        <f>'Sales Target &amp; Actual'!K29</f>
        <v>1729</v>
      </c>
      <c r="F32" s="74">
        <f>'Sales Target &amp; Actual'!L29</f>
        <v>1360</v>
      </c>
      <c r="K32" s="73" t="s">
        <v>17</v>
      </c>
      <c r="L32" s="74">
        <f>C32*$I$8</f>
        <v>1062400</v>
      </c>
      <c r="M32" s="74">
        <f t="shared" ref="M32:O32" si="16">D32*$I$8</f>
        <v>656800</v>
      </c>
      <c r="N32" s="74">
        <f t="shared" si="16"/>
        <v>691600</v>
      </c>
      <c r="O32" s="74">
        <f t="shared" si="16"/>
        <v>544000</v>
      </c>
    </row>
    <row r="33" spans="2:15" ht="13" x14ac:dyDescent="0.3">
      <c r="B33" s="73" t="s">
        <v>18</v>
      </c>
      <c r="C33" s="74">
        <f>'Sales Target &amp; Actual'!I30</f>
        <v>1837</v>
      </c>
      <c r="D33" s="74">
        <f>'Sales Target &amp; Actual'!J30</f>
        <v>856</v>
      </c>
      <c r="E33" s="74">
        <f>'Sales Target &amp; Actual'!K30</f>
        <v>998</v>
      </c>
      <c r="F33" s="74">
        <f>'Sales Target &amp; Actual'!L30</f>
        <v>1267</v>
      </c>
      <c r="K33" s="73" t="s">
        <v>18</v>
      </c>
      <c r="L33" s="74">
        <f>C33*$I$9</f>
        <v>1285900</v>
      </c>
      <c r="M33" s="74">
        <f t="shared" ref="M33:N33" si="17">D33*$I$9</f>
        <v>599200</v>
      </c>
      <c r="N33" s="74">
        <f t="shared" si="17"/>
        <v>698600</v>
      </c>
      <c r="O33" s="74">
        <f>F33*$I$9</f>
        <v>886900</v>
      </c>
    </row>
    <row r="34" spans="2:15" ht="13" x14ac:dyDescent="0.3">
      <c r="B34" s="73" t="s">
        <v>104</v>
      </c>
      <c r="C34" s="74">
        <f>'Sales Target &amp; Actual'!I31</f>
        <v>2927</v>
      </c>
      <c r="D34" s="74">
        <f>'Sales Target &amp; Actual'!J31</f>
        <v>1462</v>
      </c>
      <c r="E34" s="74">
        <f>'Sales Target &amp; Actual'!K31</f>
        <v>1511</v>
      </c>
      <c r="F34" s="74">
        <f>'Sales Target &amp; Actual'!L31</f>
        <v>1578</v>
      </c>
      <c r="K34" s="73" t="s">
        <v>104</v>
      </c>
      <c r="L34" s="74">
        <f>C34*$I$10</f>
        <v>2341600</v>
      </c>
      <c r="M34" s="74">
        <f t="shared" ref="M34:O34" si="18">D34*$I$10</f>
        <v>1169600</v>
      </c>
      <c r="N34" s="74">
        <f t="shared" si="18"/>
        <v>1208800</v>
      </c>
      <c r="O34" s="74">
        <f t="shared" si="18"/>
        <v>1262400</v>
      </c>
    </row>
    <row r="35" spans="2:15" ht="13" x14ac:dyDescent="0.3">
      <c r="B35" s="73" t="s">
        <v>105</v>
      </c>
      <c r="C35" s="74">
        <f>'Sales Target &amp; Actual'!I32</f>
        <v>2600</v>
      </c>
      <c r="D35" s="74">
        <f>'Sales Target &amp; Actual'!J32</f>
        <v>1210</v>
      </c>
      <c r="E35" s="74">
        <f>'Sales Target &amp; Actual'!K32</f>
        <v>1347</v>
      </c>
      <c r="F35" s="74">
        <f>'Sales Target &amp; Actual'!L32</f>
        <v>1467</v>
      </c>
      <c r="K35" s="73" t="s">
        <v>105</v>
      </c>
      <c r="L35" s="74">
        <f>C35*$I$11</f>
        <v>1248000</v>
      </c>
      <c r="M35" s="74">
        <f t="shared" ref="M35:O35" si="19">D35*$I$11</f>
        <v>580800</v>
      </c>
      <c r="N35" s="74">
        <f t="shared" si="19"/>
        <v>646560</v>
      </c>
      <c r="O35" s="74">
        <f t="shared" si="19"/>
        <v>704160</v>
      </c>
    </row>
    <row r="36" spans="2:15" ht="13" x14ac:dyDescent="0.3">
      <c r="B36" s="73" t="s">
        <v>23</v>
      </c>
      <c r="C36" s="74">
        <f>SUM(C29:C35)</f>
        <v>16913</v>
      </c>
      <c r="D36" s="74">
        <f>SUM(D29:D35)</f>
        <v>8968</v>
      </c>
      <c r="E36" s="74">
        <f>SUM(E29:E35)</f>
        <v>9616</v>
      </c>
      <c r="F36" s="74">
        <f>SUM(F29:F35)</f>
        <v>9715</v>
      </c>
      <c r="K36" s="73" t="s">
        <v>23</v>
      </c>
      <c r="L36" s="74">
        <f>SUM(L29:L35)</f>
        <v>10833550</v>
      </c>
      <c r="M36" s="74">
        <f>SUM(M29:M35)</f>
        <v>5688700</v>
      </c>
      <c r="N36" s="74">
        <f>SUM(N29:N35)</f>
        <v>6112710</v>
      </c>
      <c r="O36" s="74">
        <f>SUM(O29:O35)</f>
        <v>6283310</v>
      </c>
    </row>
    <row r="39" spans="2:15" ht="13" x14ac:dyDescent="0.3">
      <c r="B39" s="68" t="s">
        <v>96</v>
      </c>
      <c r="G39" s="91" t="s">
        <v>168</v>
      </c>
    </row>
    <row r="40" spans="2:15" ht="13.5" x14ac:dyDescent="0.35">
      <c r="B40" s="85" t="s">
        <v>10</v>
      </c>
      <c r="C40" s="70" t="s">
        <v>2</v>
      </c>
      <c r="D40" s="70" t="s">
        <v>3</v>
      </c>
      <c r="E40" s="70" t="s">
        <v>4</v>
      </c>
      <c r="F40" s="70" t="s">
        <v>5</v>
      </c>
      <c r="G40" s="70" t="s">
        <v>11</v>
      </c>
    </row>
    <row r="41" spans="2:15" ht="13" x14ac:dyDescent="0.3">
      <c r="B41" s="173">
        <f>E3</f>
        <v>2019</v>
      </c>
      <c r="C41" s="82">
        <f>L12</f>
        <v>9416330</v>
      </c>
      <c r="D41" s="82">
        <f>M12</f>
        <v>7200320</v>
      </c>
      <c r="E41" s="82">
        <f>N12</f>
        <v>4536080</v>
      </c>
      <c r="F41" s="82">
        <f>O12</f>
        <v>4022670</v>
      </c>
      <c r="G41" s="83">
        <f>SUM(C41:F41)</f>
        <v>25175400</v>
      </c>
    </row>
    <row r="42" spans="2:15" ht="13" x14ac:dyDescent="0.3">
      <c r="B42" s="173">
        <f>E15</f>
        <v>2020</v>
      </c>
      <c r="C42" s="82">
        <f>L24</f>
        <v>9364870</v>
      </c>
      <c r="D42" s="82">
        <f>M24</f>
        <v>6704770</v>
      </c>
      <c r="E42" s="82">
        <f>N24</f>
        <v>5047230</v>
      </c>
      <c r="F42" s="82">
        <f>O24</f>
        <v>4555770</v>
      </c>
      <c r="G42" s="83">
        <f>SUM(C42:F42)</f>
        <v>25672640</v>
      </c>
    </row>
    <row r="43" spans="2:15" ht="13" x14ac:dyDescent="0.3">
      <c r="B43" s="173">
        <f>E27</f>
        <v>2021</v>
      </c>
      <c r="C43" s="82">
        <f>L36</f>
        <v>10833550</v>
      </c>
      <c r="D43" s="82">
        <f>M36</f>
        <v>5688700</v>
      </c>
      <c r="E43" s="82">
        <f>N36</f>
        <v>6112710</v>
      </c>
      <c r="F43" s="82">
        <f>O36</f>
        <v>6283310</v>
      </c>
      <c r="G43" s="83">
        <f>SUM(C43:F43)</f>
        <v>28918270</v>
      </c>
    </row>
    <row r="50" spans="10:13" x14ac:dyDescent="0.25">
      <c r="J50" s="290"/>
      <c r="K50" s="290"/>
      <c r="L50" s="290"/>
      <c r="M50" s="290"/>
    </row>
    <row r="51" spans="10:13" x14ac:dyDescent="0.25">
      <c r="J51" s="290"/>
      <c r="K51" s="290"/>
      <c r="L51" s="290"/>
      <c r="M51" s="290"/>
    </row>
    <row r="52" spans="10:13" x14ac:dyDescent="0.25">
      <c r="J52" s="290"/>
      <c r="K52" s="290"/>
      <c r="L52" s="290"/>
      <c r="M52" s="290"/>
    </row>
    <row r="53" spans="10:13" x14ac:dyDescent="0.25">
      <c r="J53" s="290"/>
      <c r="K53" s="290"/>
      <c r="L53" s="290"/>
      <c r="M53" s="290"/>
    </row>
    <row r="54" spans="10:13" x14ac:dyDescent="0.25">
      <c r="J54" s="290"/>
      <c r="K54" s="290"/>
      <c r="L54" s="290"/>
      <c r="M54" s="290"/>
    </row>
  </sheetData>
  <phoneticPr fontId="13" type="noConversion"/>
  <printOptions gridLines="1" gridLinesSet="0"/>
  <pageMargins left="0.75" right="0.75" top="1" bottom="1" header="0.5" footer="0.5"/>
  <pageSetup paperSize="9" scale="57" orientation="landscape" horizontalDpi="360" verticalDpi="0" copies="0" r:id="rId1"/>
  <headerFooter alignWithMargins="0">
    <oddHeader>&amp;A</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2" tint="-0.89999084444715716"/>
  </sheetPr>
  <dimension ref="A1:H73"/>
  <sheetViews>
    <sheetView workbookViewId="0">
      <selection activeCell="A38" sqref="A38:XFD38"/>
    </sheetView>
  </sheetViews>
  <sheetFormatPr defaultRowHeight="12.5" x14ac:dyDescent="0.25"/>
  <cols>
    <col min="2" max="2" width="16.26953125" customWidth="1"/>
    <col min="3" max="3" width="16.7265625" customWidth="1"/>
    <col min="4" max="4" width="11.81640625" customWidth="1"/>
    <col min="5" max="5" width="16" customWidth="1"/>
    <col min="6" max="6" width="12.81640625" customWidth="1"/>
    <col min="7" max="7" width="15.81640625" customWidth="1"/>
  </cols>
  <sheetData>
    <row r="1" spans="1:8" ht="13" x14ac:dyDescent="0.3">
      <c r="A1" s="91" t="s">
        <v>154</v>
      </c>
      <c r="B1" s="91" t="s">
        <v>155</v>
      </c>
      <c r="C1" s="91" t="s">
        <v>156</v>
      </c>
      <c r="D1" s="91" t="s">
        <v>157</v>
      </c>
      <c r="E1" s="91"/>
      <c r="F1" s="91"/>
      <c r="G1" s="91"/>
      <c r="H1" s="91"/>
    </row>
    <row r="2" spans="1:8" ht="13" x14ac:dyDescent="0.3">
      <c r="A2">
        <f>'Total Operating Cost'!B$6</f>
        <v>2019</v>
      </c>
      <c r="B2" t="str">
        <f>'Total Operating Cost'!C$5</f>
        <v>Brisbane</v>
      </c>
      <c r="C2" t="str">
        <f>'Total Operating Cost'!G$4</f>
        <v>LABOUR</v>
      </c>
      <c r="D2">
        <f>'Total Operating Cost'!C6</f>
        <v>735000</v>
      </c>
      <c r="F2" s="91" t="s">
        <v>171</v>
      </c>
    </row>
    <row r="3" spans="1:8" x14ac:dyDescent="0.25">
      <c r="A3">
        <f>'Total Operating Cost'!B$7</f>
        <v>2020</v>
      </c>
      <c r="B3" t="str">
        <f>'Total Operating Cost'!C$5</f>
        <v>Brisbane</v>
      </c>
      <c r="C3" t="str">
        <f>'Total Operating Cost'!G$4</f>
        <v>LABOUR</v>
      </c>
      <c r="D3">
        <f>'Total Operating Cost'!C7</f>
        <v>760000</v>
      </c>
      <c r="F3" s="35" t="s">
        <v>172</v>
      </c>
    </row>
    <row r="4" spans="1:8" x14ac:dyDescent="0.25">
      <c r="A4">
        <f>'Total Operating Cost'!B$8</f>
        <v>2021</v>
      </c>
      <c r="B4" t="str">
        <f>'Total Operating Cost'!C$5</f>
        <v>Brisbane</v>
      </c>
      <c r="C4" t="str">
        <f>'Total Operating Cost'!G$4</f>
        <v>LABOUR</v>
      </c>
      <c r="D4">
        <f>'Total Operating Cost'!C8</f>
        <v>794000</v>
      </c>
      <c r="F4" s="35" t="s">
        <v>173</v>
      </c>
    </row>
    <row r="5" spans="1:8" x14ac:dyDescent="0.25">
      <c r="A5">
        <f>'Total Operating Cost'!B$6</f>
        <v>2019</v>
      </c>
      <c r="B5" t="str">
        <f>'Total Operating Cost'!D$5</f>
        <v>Gold Coast</v>
      </c>
      <c r="C5" t="str">
        <f>'Total Operating Cost'!G$4</f>
        <v>LABOUR</v>
      </c>
      <c r="D5">
        <f>'Total Operating Cost'!D6</f>
        <v>677000</v>
      </c>
      <c r="F5" s="35" t="s">
        <v>174</v>
      </c>
    </row>
    <row r="6" spans="1:8" x14ac:dyDescent="0.25">
      <c r="A6">
        <f>'Total Operating Cost'!B$7</f>
        <v>2020</v>
      </c>
      <c r="B6" t="str">
        <f>'Total Operating Cost'!D$5</f>
        <v>Gold Coast</v>
      </c>
      <c r="C6" t="str">
        <f>'Total Operating Cost'!G$4</f>
        <v>LABOUR</v>
      </c>
      <c r="D6">
        <f>'Total Operating Cost'!D7</f>
        <v>700000</v>
      </c>
    </row>
    <row r="7" spans="1:8" ht="13" x14ac:dyDescent="0.3">
      <c r="A7">
        <f>'Total Operating Cost'!B$8</f>
        <v>2021</v>
      </c>
      <c r="B7" t="str">
        <f>'Total Operating Cost'!D$5</f>
        <v>Gold Coast</v>
      </c>
      <c r="C7" t="str">
        <f>'Total Operating Cost'!G$4</f>
        <v>LABOUR</v>
      </c>
      <c r="D7">
        <f>'Total Operating Cost'!D8</f>
        <v>731000</v>
      </c>
      <c r="F7" s="91" t="s">
        <v>176</v>
      </c>
    </row>
    <row r="8" spans="1:8" x14ac:dyDescent="0.25">
      <c r="A8">
        <f>'Total Operating Cost'!B$6</f>
        <v>2019</v>
      </c>
      <c r="B8" t="str">
        <f>'Total Operating Cost'!E$5</f>
        <v>Townsville</v>
      </c>
      <c r="C8" t="str">
        <f>'Total Operating Cost'!G$4</f>
        <v>LABOUR</v>
      </c>
      <c r="D8">
        <f>'Total Operating Cost'!E6</f>
        <v>405000</v>
      </c>
    </row>
    <row r="9" spans="1:8" ht="13" x14ac:dyDescent="0.3">
      <c r="A9">
        <f>'Total Operating Cost'!B$7</f>
        <v>2020</v>
      </c>
      <c r="B9" t="str">
        <f>'Total Operating Cost'!E$5</f>
        <v>Townsville</v>
      </c>
      <c r="C9" t="str">
        <f>'Total Operating Cost'!G$4</f>
        <v>LABOUR</v>
      </c>
      <c r="D9">
        <f>'Total Operating Cost'!E7</f>
        <v>419000</v>
      </c>
      <c r="F9" s="91" t="s">
        <v>175</v>
      </c>
      <c r="G9" s="91"/>
    </row>
    <row r="10" spans="1:8" x14ac:dyDescent="0.25">
      <c r="A10">
        <f>'Total Operating Cost'!B$8</f>
        <v>2021</v>
      </c>
      <c r="B10" t="str">
        <f>'Total Operating Cost'!E$5</f>
        <v>Townsville</v>
      </c>
      <c r="C10" t="str">
        <f>'Total Operating Cost'!G$4</f>
        <v>LABOUR</v>
      </c>
      <c r="D10">
        <f>'Total Operating Cost'!E8</f>
        <v>437000</v>
      </c>
    </row>
    <row r="11" spans="1:8" ht="13" x14ac:dyDescent="0.3">
      <c r="A11">
        <f>'Total Operating Cost'!B$6</f>
        <v>2019</v>
      </c>
      <c r="B11" t="str">
        <f>'Total Operating Cost'!F$5</f>
        <v>Cairns</v>
      </c>
      <c r="C11" t="str">
        <f>'Total Operating Cost'!G$4</f>
        <v>LABOUR</v>
      </c>
      <c r="D11">
        <f>'Total Operating Cost'!F6</f>
        <v>347000</v>
      </c>
      <c r="F11" s="100" t="s">
        <v>218</v>
      </c>
    </row>
    <row r="12" spans="1:8" ht="13" x14ac:dyDescent="0.3">
      <c r="A12">
        <f>'Total Operating Cost'!B$7</f>
        <v>2020</v>
      </c>
      <c r="B12" t="str">
        <f>'Total Operating Cost'!F$5</f>
        <v>Cairns</v>
      </c>
      <c r="C12" t="str">
        <f>'Total Operating Cost'!G$4</f>
        <v>LABOUR</v>
      </c>
      <c r="D12">
        <f>'Total Operating Cost'!F7</f>
        <v>359000</v>
      </c>
      <c r="F12" s="100" t="s">
        <v>224</v>
      </c>
    </row>
    <row r="13" spans="1:8" x14ac:dyDescent="0.25">
      <c r="A13">
        <f>'Total Operating Cost'!B$8</f>
        <v>2021</v>
      </c>
      <c r="B13" t="str">
        <f>'Total Operating Cost'!F$5</f>
        <v>Cairns</v>
      </c>
      <c r="C13" t="str">
        <f>'Total Operating Cost'!G$4</f>
        <v>LABOUR</v>
      </c>
      <c r="D13">
        <f>'Total Operating Cost'!F8</f>
        <v>374000</v>
      </c>
    </row>
    <row r="14" spans="1:8" x14ac:dyDescent="0.25">
      <c r="A14">
        <f>'Total Operating Cost'!B$6</f>
        <v>2019</v>
      </c>
      <c r="B14" t="str">
        <f>'Total Operating Cost'!C$5</f>
        <v>Brisbane</v>
      </c>
      <c r="C14" t="str">
        <f>'Total Operating Cost'!G$11</f>
        <v>FAOC</v>
      </c>
      <c r="D14">
        <f>'Total Operating Cost'!C13</f>
        <v>300000</v>
      </c>
    </row>
    <row r="15" spans="1:8" x14ac:dyDescent="0.25">
      <c r="A15">
        <f>'Total Operating Cost'!B$7</f>
        <v>2020</v>
      </c>
      <c r="B15" t="str">
        <f>'Total Operating Cost'!C$5</f>
        <v>Brisbane</v>
      </c>
      <c r="C15" t="str">
        <f>'Total Operating Cost'!G$11</f>
        <v>FAOC</v>
      </c>
      <c r="D15">
        <f>'Total Operating Cost'!C14</f>
        <v>300000</v>
      </c>
    </row>
    <row r="16" spans="1:8" x14ac:dyDescent="0.25">
      <c r="A16">
        <f>'Total Operating Cost'!B$8</f>
        <v>2021</v>
      </c>
      <c r="B16" t="str">
        <f>'Total Operating Cost'!C$5</f>
        <v>Brisbane</v>
      </c>
      <c r="C16" t="str">
        <f>'Total Operating Cost'!G$11</f>
        <v>FAOC</v>
      </c>
      <c r="D16">
        <f>'Total Operating Cost'!C15</f>
        <v>300000</v>
      </c>
    </row>
    <row r="17" spans="1:4" x14ac:dyDescent="0.25">
      <c r="A17">
        <f>'Total Operating Cost'!B$6</f>
        <v>2019</v>
      </c>
      <c r="B17" t="str">
        <f>'Total Operating Cost'!D$5</f>
        <v>Gold Coast</v>
      </c>
      <c r="C17" t="str">
        <f>'Total Operating Cost'!G$11</f>
        <v>FAOC</v>
      </c>
      <c r="D17">
        <f>'Total Operating Cost'!D13</f>
        <v>285000</v>
      </c>
    </row>
    <row r="18" spans="1:4" x14ac:dyDescent="0.25">
      <c r="A18">
        <f>'Total Operating Cost'!B$7</f>
        <v>2020</v>
      </c>
      <c r="B18" t="str">
        <f>'Total Operating Cost'!D$5</f>
        <v>Gold Coast</v>
      </c>
      <c r="C18" t="str">
        <f>'Total Operating Cost'!G$11</f>
        <v>FAOC</v>
      </c>
      <c r="D18">
        <f>'Total Operating Cost'!D14</f>
        <v>285000</v>
      </c>
    </row>
    <row r="19" spans="1:4" x14ac:dyDescent="0.25">
      <c r="A19">
        <f>'Total Operating Cost'!B$8</f>
        <v>2021</v>
      </c>
      <c r="B19" t="str">
        <f>'Total Operating Cost'!D$5</f>
        <v>Gold Coast</v>
      </c>
      <c r="C19" t="str">
        <f>'Total Operating Cost'!G$11</f>
        <v>FAOC</v>
      </c>
      <c r="D19">
        <f>'Total Operating Cost'!D15</f>
        <v>285000</v>
      </c>
    </row>
    <row r="20" spans="1:4" x14ac:dyDescent="0.25">
      <c r="A20">
        <f>'Total Operating Cost'!B$6</f>
        <v>2019</v>
      </c>
      <c r="B20" t="str">
        <f>'Total Operating Cost'!E$5</f>
        <v>Townsville</v>
      </c>
      <c r="C20" t="str">
        <f>'Total Operating Cost'!G$11</f>
        <v>FAOC</v>
      </c>
      <c r="D20">
        <f>'Total Operating Cost'!E13</f>
        <v>130000</v>
      </c>
    </row>
    <row r="21" spans="1:4" x14ac:dyDescent="0.25">
      <c r="A21">
        <f>'Total Operating Cost'!B$7</f>
        <v>2020</v>
      </c>
      <c r="B21" t="str">
        <f>'Total Operating Cost'!E$5</f>
        <v>Townsville</v>
      </c>
      <c r="C21" t="str">
        <f>'Total Operating Cost'!G$11</f>
        <v>FAOC</v>
      </c>
      <c r="D21">
        <f>'Total Operating Cost'!E14</f>
        <v>130000</v>
      </c>
    </row>
    <row r="22" spans="1:4" x14ac:dyDescent="0.25">
      <c r="A22">
        <f>'Total Operating Cost'!B$8</f>
        <v>2021</v>
      </c>
      <c r="B22" t="str">
        <f>'Total Operating Cost'!E$5</f>
        <v>Townsville</v>
      </c>
      <c r="C22" t="str">
        <f>'Total Operating Cost'!G$11</f>
        <v>FAOC</v>
      </c>
      <c r="D22">
        <f>'Total Operating Cost'!E15</f>
        <v>130000</v>
      </c>
    </row>
    <row r="23" spans="1:4" x14ac:dyDescent="0.25">
      <c r="A23">
        <f>'Total Operating Cost'!B$6</f>
        <v>2019</v>
      </c>
      <c r="B23" t="str">
        <f>'Total Operating Cost'!F$5</f>
        <v>Cairns</v>
      </c>
      <c r="C23" t="str">
        <f>'Total Operating Cost'!G$11</f>
        <v>FAOC</v>
      </c>
      <c r="D23">
        <f>'Total Operating Cost'!F13</f>
        <v>115000</v>
      </c>
    </row>
    <row r="24" spans="1:4" x14ac:dyDescent="0.25">
      <c r="A24">
        <f>'Total Operating Cost'!B$7</f>
        <v>2020</v>
      </c>
      <c r="B24" t="str">
        <f>'Total Operating Cost'!F$5</f>
        <v>Cairns</v>
      </c>
      <c r="C24" t="str">
        <f>'Total Operating Cost'!G$11</f>
        <v>FAOC</v>
      </c>
      <c r="D24">
        <f>'Total Operating Cost'!F14</f>
        <v>115000</v>
      </c>
    </row>
    <row r="25" spans="1:4" x14ac:dyDescent="0.25">
      <c r="A25">
        <f>'Total Operating Cost'!B$8</f>
        <v>2021</v>
      </c>
      <c r="B25" t="str">
        <f>'Total Operating Cost'!F$5</f>
        <v>Cairns</v>
      </c>
      <c r="C25" t="str">
        <f>'Total Operating Cost'!G$11</f>
        <v>FAOC</v>
      </c>
      <c r="D25">
        <f>'Total Operating Cost'!F15</f>
        <v>115000</v>
      </c>
    </row>
    <row r="26" spans="1:4" x14ac:dyDescent="0.25">
      <c r="A26">
        <f>'Total Operating Cost'!B$6</f>
        <v>2019</v>
      </c>
      <c r="B26" t="str">
        <f>'Total Operating Cost'!C$5</f>
        <v>Brisbane</v>
      </c>
      <c r="C26" t="str">
        <f>'Total Operating Cost'!G$18</f>
        <v>VUAOC</v>
      </c>
      <c r="D26">
        <f>'Total Operating Cost'!C20</f>
        <v>690144.00000000012</v>
      </c>
    </row>
    <row r="27" spans="1:4" x14ac:dyDescent="0.25">
      <c r="A27">
        <f>'Total Operating Cost'!B$7</f>
        <v>2020</v>
      </c>
      <c r="B27" t="str">
        <f>'Total Operating Cost'!C$5</f>
        <v>Brisbane</v>
      </c>
      <c r="C27" t="str">
        <f>'Total Operating Cost'!G$18</f>
        <v>VUAOC</v>
      </c>
      <c r="D27">
        <f>'Total Operating Cost'!C21</f>
        <v>664263.60000000009</v>
      </c>
    </row>
    <row r="28" spans="1:4" x14ac:dyDescent="0.25">
      <c r="A28">
        <f>'Total Operating Cost'!B$8</f>
        <v>2021</v>
      </c>
      <c r="B28" t="str">
        <f>'Total Operating Cost'!C$5</f>
        <v>Brisbane</v>
      </c>
      <c r="C28" t="str">
        <f>'Total Operating Cost'!G$18</f>
        <v>VUAOC</v>
      </c>
      <c r="D28">
        <f>'Total Operating Cost'!C22</f>
        <v>832486.20000000007</v>
      </c>
    </row>
    <row r="29" spans="1:4" x14ac:dyDescent="0.25">
      <c r="A29">
        <f>'Total Operating Cost'!B$6</f>
        <v>2019</v>
      </c>
      <c r="B29" t="str">
        <f>'Total Operating Cost'!D$5</f>
        <v>Gold Coast</v>
      </c>
      <c r="C29" t="str">
        <f>'Total Operating Cost'!G$18</f>
        <v>VUAOC</v>
      </c>
      <c r="D29">
        <f>'Total Operating Cost'!D20</f>
        <v>440756.4</v>
      </c>
    </row>
    <row r="30" spans="1:4" x14ac:dyDescent="0.25">
      <c r="A30">
        <f>'Total Operating Cost'!B$7</f>
        <v>2020</v>
      </c>
      <c r="B30" t="str">
        <f>'Total Operating Cost'!D$5</f>
        <v>Gold Coast</v>
      </c>
      <c r="C30" t="str">
        <f>'Total Operating Cost'!G$18</f>
        <v>VUAOC</v>
      </c>
      <c r="D30">
        <f>'Total Operating Cost'!D21</f>
        <v>447190.80000000005</v>
      </c>
    </row>
    <row r="31" spans="1:4" x14ac:dyDescent="0.25">
      <c r="A31">
        <f>'Total Operating Cost'!B$8</f>
        <v>2021</v>
      </c>
      <c r="B31" t="str">
        <f>'Total Operating Cost'!D$5</f>
        <v>Gold Coast</v>
      </c>
      <c r="C31" t="str">
        <f>'Total Operating Cost'!G$18</f>
        <v>VUAOC</v>
      </c>
      <c r="D31">
        <f>'Total Operating Cost'!D22</f>
        <v>443973.60000000003</v>
      </c>
    </row>
    <row r="32" spans="1:4" x14ac:dyDescent="0.25">
      <c r="A32">
        <f>'Total Operating Cost'!B$6</f>
        <v>2019</v>
      </c>
      <c r="B32" t="str">
        <f>'Total Operating Cost'!E$5</f>
        <v>Townsville</v>
      </c>
      <c r="C32" t="str">
        <f>'Total Operating Cost'!G$18</f>
        <v>VUAOC</v>
      </c>
      <c r="D32">
        <f>'Total Operating Cost'!E20</f>
        <v>315903</v>
      </c>
    </row>
    <row r="33" spans="1:4" x14ac:dyDescent="0.25">
      <c r="A33">
        <f>'Total Operating Cost'!B$7</f>
        <v>2020</v>
      </c>
      <c r="B33" t="str">
        <f>'Total Operating Cost'!E$5</f>
        <v>Townsville</v>
      </c>
      <c r="C33" t="str">
        <f>'Total Operating Cost'!G$18</f>
        <v>VUAOC</v>
      </c>
      <c r="D33">
        <f>'Total Operating Cost'!E21</f>
        <v>306232.5</v>
      </c>
    </row>
    <row r="34" spans="1:4" x14ac:dyDescent="0.25">
      <c r="A34">
        <f>'Total Operating Cost'!B$8</f>
        <v>2021</v>
      </c>
      <c r="B34" t="str">
        <f>'Total Operating Cost'!E$5</f>
        <v>Townsville</v>
      </c>
      <c r="C34" t="str">
        <f>'Total Operating Cost'!G$18</f>
        <v>VUAOC</v>
      </c>
      <c r="D34">
        <f>'Total Operating Cost'!E22</f>
        <v>464184</v>
      </c>
    </row>
    <row r="35" spans="1:4" x14ac:dyDescent="0.25">
      <c r="A35">
        <f>'Total Operating Cost'!B$6</f>
        <v>2019</v>
      </c>
      <c r="B35" t="str">
        <f>'Total Operating Cost'!F$5</f>
        <v>Cairns</v>
      </c>
      <c r="C35" t="str">
        <f>'Total Operating Cost'!G$18</f>
        <v>VUAOC</v>
      </c>
      <c r="D35">
        <f>'Total Operating Cost'!F20</f>
        <v>185068.80000000002</v>
      </c>
    </row>
    <row r="36" spans="1:4" x14ac:dyDescent="0.25">
      <c r="A36">
        <f>'Total Operating Cost'!B$7</f>
        <v>2020</v>
      </c>
      <c r="B36" t="str">
        <f>'Total Operating Cost'!F$5</f>
        <v>Cairns</v>
      </c>
      <c r="C36" t="str">
        <f>'Total Operating Cost'!G$18</f>
        <v>VUAOC</v>
      </c>
      <c r="D36">
        <f>'Total Operating Cost'!F21</f>
        <v>244188</v>
      </c>
    </row>
    <row r="37" spans="1:4" x14ac:dyDescent="0.25">
      <c r="A37">
        <f>'Total Operating Cost'!B$8</f>
        <v>2021</v>
      </c>
      <c r="B37" t="str">
        <f>'Total Operating Cost'!F$5</f>
        <v>Cairns</v>
      </c>
      <c r="C37" t="str">
        <f>'Total Operating Cost'!G$18</f>
        <v>VUAOC</v>
      </c>
      <c r="D37">
        <f>'Total Operating Cost'!F22</f>
        <v>280173.60000000003</v>
      </c>
    </row>
    <row r="38" spans="1:4" x14ac:dyDescent="0.25">
      <c r="A38">
        <f>'Total Operating Cost'!B$6</f>
        <v>2019</v>
      </c>
      <c r="B38" t="str">
        <f>'Total Operating Cost'!C$5</f>
        <v>Brisbane</v>
      </c>
      <c r="C38" t="str">
        <f>'Total Operating Cost'!G$25</f>
        <v>APC</v>
      </c>
      <c r="D38">
        <f>'Total Operating Cost'!C27</f>
        <v>95000</v>
      </c>
    </row>
    <row r="39" spans="1:4" x14ac:dyDescent="0.25">
      <c r="A39">
        <f>'Total Operating Cost'!B$7</f>
        <v>2020</v>
      </c>
      <c r="B39" t="str">
        <f>'Total Operating Cost'!C$5</f>
        <v>Brisbane</v>
      </c>
      <c r="C39" t="str">
        <f>'Total Operating Cost'!G$25</f>
        <v>APC</v>
      </c>
      <c r="D39">
        <f>'Total Operating Cost'!C28</f>
        <v>95000</v>
      </c>
    </row>
    <row r="40" spans="1:4" x14ac:dyDescent="0.25">
      <c r="A40">
        <f>'Total Operating Cost'!B$8</f>
        <v>2021</v>
      </c>
      <c r="B40" t="str">
        <f>'Total Operating Cost'!C$5</f>
        <v>Brisbane</v>
      </c>
      <c r="C40" t="str">
        <f>'Total Operating Cost'!G$25</f>
        <v>APC</v>
      </c>
      <c r="D40">
        <f>'Total Operating Cost'!C29</f>
        <v>100000</v>
      </c>
    </row>
    <row r="41" spans="1:4" x14ac:dyDescent="0.25">
      <c r="A41">
        <f>'Total Operating Cost'!B$6</f>
        <v>2019</v>
      </c>
      <c r="B41" t="str">
        <f>'Total Operating Cost'!D$5</f>
        <v>Gold Coast</v>
      </c>
      <c r="C41" t="str">
        <f>'Total Operating Cost'!G$25</f>
        <v>APC</v>
      </c>
      <c r="D41">
        <f>'Total Operating Cost'!D27</f>
        <v>90000</v>
      </c>
    </row>
    <row r="42" spans="1:4" x14ac:dyDescent="0.25">
      <c r="A42">
        <f>'Total Operating Cost'!B$7</f>
        <v>2020</v>
      </c>
      <c r="B42" t="str">
        <f>'Total Operating Cost'!D$5</f>
        <v>Gold Coast</v>
      </c>
      <c r="C42" t="str">
        <f>'Total Operating Cost'!G$25</f>
        <v>APC</v>
      </c>
      <c r="D42">
        <f>'Total Operating Cost'!D28</f>
        <v>85000</v>
      </c>
    </row>
    <row r="43" spans="1:4" x14ac:dyDescent="0.25">
      <c r="A43">
        <f>'Total Operating Cost'!B$8</f>
        <v>2021</v>
      </c>
      <c r="B43" t="str">
        <f>'Total Operating Cost'!D$5</f>
        <v>Gold Coast</v>
      </c>
      <c r="C43" t="str">
        <f>'Total Operating Cost'!G$25</f>
        <v>APC</v>
      </c>
      <c r="D43">
        <f>'Total Operating Cost'!D29</f>
        <v>85000</v>
      </c>
    </row>
    <row r="44" spans="1:4" x14ac:dyDescent="0.25">
      <c r="A44">
        <f>'Total Operating Cost'!B$6</f>
        <v>2019</v>
      </c>
      <c r="B44" t="str">
        <f>'Total Operating Cost'!E$5</f>
        <v>Townsville</v>
      </c>
      <c r="C44" t="str">
        <f>'Total Operating Cost'!G$25</f>
        <v>APC</v>
      </c>
      <c r="D44">
        <f>'Total Operating Cost'!E27</f>
        <v>60000</v>
      </c>
    </row>
    <row r="45" spans="1:4" x14ac:dyDescent="0.25">
      <c r="A45">
        <f>'Total Operating Cost'!B$7</f>
        <v>2020</v>
      </c>
      <c r="B45" t="str">
        <f>'Total Operating Cost'!E$5</f>
        <v>Townsville</v>
      </c>
      <c r="C45" t="str">
        <f>'Total Operating Cost'!G$25</f>
        <v>APC</v>
      </c>
      <c r="D45">
        <f>'Total Operating Cost'!E28</f>
        <v>70000</v>
      </c>
    </row>
    <row r="46" spans="1:4" x14ac:dyDescent="0.25">
      <c r="A46">
        <f>'Total Operating Cost'!B$8</f>
        <v>2021</v>
      </c>
      <c r="B46" t="str">
        <f>'Total Operating Cost'!E$5</f>
        <v>Townsville</v>
      </c>
      <c r="C46" t="str">
        <f>'Total Operating Cost'!G$25</f>
        <v>APC</v>
      </c>
      <c r="D46">
        <f>'Total Operating Cost'!E29</f>
        <v>75000</v>
      </c>
    </row>
    <row r="47" spans="1:4" x14ac:dyDescent="0.25">
      <c r="A47">
        <f>'Total Operating Cost'!B$6</f>
        <v>2019</v>
      </c>
      <c r="B47" t="str">
        <f>'Total Operating Cost'!F$5</f>
        <v>Cairns</v>
      </c>
      <c r="C47" t="str">
        <f>'Total Operating Cost'!G$25</f>
        <v>APC</v>
      </c>
      <c r="D47">
        <f>'Total Operating Cost'!F27</f>
        <v>40000</v>
      </c>
    </row>
    <row r="48" spans="1:4" x14ac:dyDescent="0.25">
      <c r="A48">
        <f>'Total Operating Cost'!B$7</f>
        <v>2020</v>
      </c>
      <c r="B48" t="str">
        <f>'Total Operating Cost'!F$5</f>
        <v>Cairns</v>
      </c>
      <c r="C48" t="str">
        <f>'Total Operating Cost'!G$25</f>
        <v>APC</v>
      </c>
      <c r="D48">
        <f>'Total Operating Cost'!F28</f>
        <v>40000</v>
      </c>
    </row>
    <row r="49" spans="1:4" x14ac:dyDescent="0.25">
      <c r="A49">
        <f>'Total Operating Cost'!B$8</f>
        <v>2021</v>
      </c>
      <c r="B49" t="str">
        <f>'Total Operating Cost'!F$5</f>
        <v>Cairns</v>
      </c>
      <c r="C49" t="str">
        <f>'Total Operating Cost'!G$25</f>
        <v>APC</v>
      </c>
      <c r="D49">
        <f>'Total Operating Cost'!F29</f>
        <v>42000</v>
      </c>
    </row>
    <row r="50" spans="1:4" x14ac:dyDescent="0.25">
      <c r="A50">
        <f>'Total Operating Cost'!B$6</f>
        <v>2019</v>
      </c>
      <c r="B50" t="str">
        <f>'Total Operating Cost'!C$5</f>
        <v>Brisbane</v>
      </c>
      <c r="C50" t="str">
        <f>'Total Operating Cost'!G$32</f>
        <v>COGS</v>
      </c>
      <c r="D50">
        <f>'Total Operating Cost'!C34</f>
        <v>7187875</v>
      </c>
    </row>
    <row r="51" spans="1:4" x14ac:dyDescent="0.25">
      <c r="A51">
        <f>'Total Operating Cost'!B$7</f>
        <v>2020</v>
      </c>
      <c r="B51" t="str">
        <f>'Total Operating Cost'!C$5</f>
        <v>Brisbane</v>
      </c>
      <c r="C51" t="str">
        <f>'Total Operating Cost'!G$32</f>
        <v>COGS</v>
      </c>
      <c r="D51">
        <f>'Total Operating Cost'!C35</f>
        <v>7127170</v>
      </c>
    </row>
    <row r="52" spans="1:4" x14ac:dyDescent="0.25">
      <c r="A52">
        <f>'Total Operating Cost'!B$8</f>
        <v>2021</v>
      </c>
      <c r="B52" t="str">
        <f>'Total Operating Cost'!C$5</f>
        <v>Brisbane</v>
      </c>
      <c r="C52" t="str">
        <f>'Total Operating Cost'!G$32</f>
        <v>COGS</v>
      </c>
      <c r="D52">
        <f>'Total Operating Cost'!C36</f>
        <v>8252900</v>
      </c>
    </row>
    <row r="53" spans="1:4" x14ac:dyDescent="0.25">
      <c r="A53">
        <f>'Total Operating Cost'!B$6</f>
        <v>2019</v>
      </c>
      <c r="B53" t="str">
        <f>'Total Operating Cost'!D$5</f>
        <v>Gold Coast</v>
      </c>
      <c r="C53" t="str">
        <f>'Total Operating Cost'!G$32</f>
        <v>COGS</v>
      </c>
      <c r="D53">
        <f>'Total Operating Cost'!D34</f>
        <v>5497360</v>
      </c>
    </row>
    <row r="54" spans="1:4" x14ac:dyDescent="0.25">
      <c r="A54">
        <f>'Total Operating Cost'!B$7</f>
        <v>2020</v>
      </c>
      <c r="B54" t="str">
        <f>'Total Operating Cost'!D$5</f>
        <v>Gold Coast</v>
      </c>
      <c r="C54" t="str">
        <f>'Total Operating Cost'!G$32</f>
        <v>COGS</v>
      </c>
      <c r="D54">
        <f>'Total Operating Cost'!D35</f>
        <v>5131710</v>
      </c>
    </row>
    <row r="55" spans="1:4" x14ac:dyDescent="0.25">
      <c r="A55">
        <f>'Total Operating Cost'!B$8</f>
        <v>2021</v>
      </c>
      <c r="B55" t="str">
        <f>'Total Operating Cost'!D$5</f>
        <v>Gold Coast</v>
      </c>
      <c r="C55" t="str">
        <f>'Total Operating Cost'!G$32</f>
        <v>COGS</v>
      </c>
      <c r="D55">
        <f>'Total Operating Cost'!D36</f>
        <v>4357940</v>
      </c>
    </row>
    <row r="56" spans="1:4" x14ac:dyDescent="0.25">
      <c r="A56">
        <f>'Total Operating Cost'!B$6</f>
        <v>2019</v>
      </c>
      <c r="B56" t="str">
        <f>'Total Operating Cost'!E$5</f>
        <v>Townsville</v>
      </c>
      <c r="C56" t="str">
        <f>'Total Operating Cost'!G$32</f>
        <v>COGS</v>
      </c>
      <c r="D56">
        <f>'Total Operating Cost'!E34</f>
        <v>3461355</v>
      </c>
    </row>
    <row r="57" spans="1:4" x14ac:dyDescent="0.25">
      <c r="A57">
        <f>'Total Operating Cost'!B$7</f>
        <v>2020</v>
      </c>
      <c r="B57" t="str">
        <f>'Total Operating Cost'!E$5</f>
        <v>Townsville</v>
      </c>
      <c r="C57" t="str">
        <f>'Total Operating Cost'!G$32</f>
        <v>COGS</v>
      </c>
      <c r="D57">
        <f>'Total Operating Cost'!E35</f>
        <v>3863560</v>
      </c>
    </row>
    <row r="58" spans="1:4" x14ac:dyDescent="0.25">
      <c r="A58">
        <f>'Total Operating Cost'!B$8</f>
        <v>2021</v>
      </c>
      <c r="B58" t="str">
        <f>'Total Operating Cost'!E$5</f>
        <v>Townsville</v>
      </c>
      <c r="C58" t="str">
        <f>'Total Operating Cost'!G$32</f>
        <v>COGS</v>
      </c>
      <c r="D58">
        <f>'Total Operating Cost'!E36</f>
        <v>4680620</v>
      </c>
    </row>
    <row r="59" spans="1:4" x14ac:dyDescent="0.25">
      <c r="A59">
        <f>'Total Operating Cost'!B$6</f>
        <v>2019</v>
      </c>
      <c r="B59" t="str">
        <f>'Total Operating Cost'!F$5</f>
        <v>Cairns</v>
      </c>
      <c r="C59" t="str">
        <f>'Total Operating Cost'!G$32</f>
        <v>COGS</v>
      </c>
      <c r="D59">
        <f>'Total Operating Cost'!F34</f>
        <v>3058185</v>
      </c>
    </row>
    <row r="60" spans="1:4" x14ac:dyDescent="0.25">
      <c r="A60">
        <f>'Total Operating Cost'!B$7</f>
        <v>2020</v>
      </c>
      <c r="B60" t="str">
        <f>'Total Operating Cost'!F$5</f>
        <v>Cairns</v>
      </c>
      <c r="C60" t="str">
        <f>'Total Operating Cost'!G$32</f>
        <v>COGS</v>
      </c>
      <c r="D60">
        <f>'Total Operating Cost'!F35</f>
        <v>3486755</v>
      </c>
    </row>
    <row r="61" spans="1:4" x14ac:dyDescent="0.25">
      <c r="A61">
        <f>'Total Operating Cost'!B$8</f>
        <v>2021</v>
      </c>
      <c r="B61" t="str">
        <f>'Total Operating Cost'!F$5</f>
        <v>Cairns</v>
      </c>
      <c r="C61" t="str">
        <f>'Total Operating Cost'!G$32</f>
        <v>COGS</v>
      </c>
      <c r="D61">
        <f>'Total Operating Cost'!F36</f>
        <v>4782695</v>
      </c>
    </row>
    <row r="62" spans="1:4" x14ac:dyDescent="0.25">
      <c r="A62">
        <f>'Total Operating Cost'!B$6</f>
        <v>2019</v>
      </c>
      <c r="B62" t="str">
        <f>'Total Operating Cost'!C$5</f>
        <v>Brisbane</v>
      </c>
      <c r="C62" t="str">
        <f>'Sales and Revenue'!G$39</f>
        <v>REVENUE</v>
      </c>
      <c r="D62">
        <f>'Sales and Revenue'!C41</f>
        <v>9416330</v>
      </c>
    </row>
    <row r="63" spans="1:4" x14ac:dyDescent="0.25">
      <c r="A63">
        <f>'Total Operating Cost'!B$7</f>
        <v>2020</v>
      </c>
      <c r="B63" t="str">
        <f>'Total Operating Cost'!C$5</f>
        <v>Brisbane</v>
      </c>
      <c r="C63" t="str">
        <f>'Sales and Revenue'!G$39</f>
        <v>REVENUE</v>
      </c>
      <c r="D63">
        <f>'Sales and Revenue'!C42</f>
        <v>9364870</v>
      </c>
    </row>
    <row r="64" spans="1:4" x14ac:dyDescent="0.25">
      <c r="A64">
        <f>'Total Operating Cost'!B$8</f>
        <v>2021</v>
      </c>
      <c r="B64" t="str">
        <f>'Total Operating Cost'!C$5</f>
        <v>Brisbane</v>
      </c>
      <c r="C64" t="str">
        <f>'Sales and Revenue'!G$39</f>
        <v>REVENUE</v>
      </c>
      <c r="D64">
        <f>'Sales and Revenue'!C43</f>
        <v>10833550</v>
      </c>
    </row>
    <row r="65" spans="1:4" x14ac:dyDescent="0.25">
      <c r="A65">
        <f>'Total Operating Cost'!B$6</f>
        <v>2019</v>
      </c>
      <c r="B65" t="str">
        <f>'Total Operating Cost'!D$5</f>
        <v>Gold Coast</v>
      </c>
      <c r="C65" t="str">
        <f>'Sales and Revenue'!G$39</f>
        <v>REVENUE</v>
      </c>
      <c r="D65">
        <f>'Sales and Revenue'!D41</f>
        <v>7200320</v>
      </c>
    </row>
    <row r="66" spans="1:4" x14ac:dyDescent="0.25">
      <c r="A66">
        <f>'Total Operating Cost'!B$7</f>
        <v>2020</v>
      </c>
      <c r="B66" t="str">
        <f>'Total Operating Cost'!D$5</f>
        <v>Gold Coast</v>
      </c>
      <c r="C66" t="str">
        <f>'Sales and Revenue'!G$39</f>
        <v>REVENUE</v>
      </c>
      <c r="D66">
        <f>'Sales and Revenue'!D42</f>
        <v>6704770</v>
      </c>
    </row>
    <row r="67" spans="1:4" x14ac:dyDescent="0.25">
      <c r="A67">
        <f>'Total Operating Cost'!B$8</f>
        <v>2021</v>
      </c>
      <c r="B67" t="str">
        <f>'Total Operating Cost'!D$5</f>
        <v>Gold Coast</v>
      </c>
      <c r="C67" t="str">
        <f>'Sales and Revenue'!G$39</f>
        <v>REVENUE</v>
      </c>
      <c r="D67">
        <f>'Sales and Revenue'!D43</f>
        <v>5688700</v>
      </c>
    </row>
    <row r="68" spans="1:4" x14ac:dyDescent="0.25">
      <c r="A68">
        <f>'Total Operating Cost'!B$6</f>
        <v>2019</v>
      </c>
      <c r="B68" t="str">
        <f>'Total Operating Cost'!E$5</f>
        <v>Townsville</v>
      </c>
      <c r="C68" t="str">
        <f>'Sales and Revenue'!G$39</f>
        <v>REVENUE</v>
      </c>
      <c r="D68">
        <f>'Sales and Revenue'!E41</f>
        <v>4536080</v>
      </c>
    </row>
    <row r="69" spans="1:4" x14ac:dyDescent="0.25">
      <c r="A69">
        <f>'Total Operating Cost'!B$7</f>
        <v>2020</v>
      </c>
      <c r="B69" t="str">
        <f>'Total Operating Cost'!E$5</f>
        <v>Townsville</v>
      </c>
      <c r="C69" t="str">
        <f>'Sales and Revenue'!G$39</f>
        <v>REVENUE</v>
      </c>
      <c r="D69">
        <f>'Sales and Revenue'!E42</f>
        <v>5047230</v>
      </c>
    </row>
    <row r="70" spans="1:4" x14ac:dyDescent="0.25">
      <c r="A70">
        <f>'Total Operating Cost'!B$8</f>
        <v>2021</v>
      </c>
      <c r="B70" t="str">
        <f>'Total Operating Cost'!E$5</f>
        <v>Townsville</v>
      </c>
      <c r="C70" t="str">
        <f>'Sales and Revenue'!G$39</f>
        <v>REVENUE</v>
      </c>
      <c r="D70">
        <f>'Sales and Revenue'!E43</f>
        <v>6112710</v>
      </c>
    </row>
    <row r="71" spans="1:4" x14ac:dyDescent="0.25">
      <c r="A71">
        <f>'Total Operating Cost'!B$6</f>
        <v>2019</v>
      </c>
      <c r="B71" t="str">
        <f>'Total Operating Cost'!F$5</f>
        <v>Cairns</v>
      </c>
      <c r="C71" t="str">
        <f>'Sales and Revenue'!G$39</f>
        <v>REVENUE</v>
      </c>
      <c r="D71">
        <f>'Sales and Revenue'!F41</f>
        <v>4022670</v>
      </c>
    </row>
    <row r="72" spans="1:4" x14ac:dyDescent="0.25">
      <c r="A72">
        <f>'Total Operating Cost'!B$7</f>
        <v>2020</v>
      </c>
      <c r="B72" t="str">
        <f>'Total Operating Cost'!F$5</f>
        <v>Cairns</v>
      </c>
      <c r="C72" t="str">
        <f>'Sales and Revenue'!G$39</f>
        <v>REVENUE</v>
      </c>
      <c r="D72">
        <f>'Sales and Revenue'!F42</f>
        <v>4555770</v>
      </c>
    </row>
    <row r="73" spans="1:4" x14ac:dyDescent="0.25">
      <c r="A73">
        <f>'Total Operating Cost'!B$8</f>
        <v>2021</v>
      </c>
      <c r="B73" t="str">
        <f>'Total Operating Cost'!F$5</f>
        <v>Cairns</v>
      </c>
      <c r="C73" t="str">
        <f>'Sales and Revenue'!G$39</f>
        <v>REVENUE</v>
      </c>
      <c r="D73">
        <f>'Sales and Revenue'!F43</f>
        <v>6283310</v>
      </c>
    </row>
  </sheetData>
  <sheetProtection algorithmName="SHA-512" hashValue="59rytnaQ7E5ur56wxWi3aIul+lj/WfkgtyAQCCvnhE+lQUYDf9prKWFjrJOdqGa2bTTke4oKspCjG3siEtynTw==" saltValue="WUKd6Tydz6LitezBWF7W7w==" spinCount="100000" sheet="1" objects="1" scenarios="1"/>
  <pageMargins left="0.7" right="0.7" top="0.75" bottom="0.75" header="0.3" footer="0.3"/>
  <pageSetup paperSize="9" orientation="portrait" horizontalDpi="300" verticalDpi="30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7030A0"/>
  </sheetPr>
  <dimension ref="B2:L95"/>
  <sheetViews>
    <sheetView topLeftCell="A7" zoomScaleNormal="100" workbookViewId="0">
      <selection activeCell="E39" sqref="E39"/>
    </sheetView>
  </sheetViews>
  <sheetFormatPr defaultRowHeight="12.5" x14ac:dyDescent="0.25"/>
  <cols>
    <col min="2" max="2" width="15.453125" bestFit="1" customWidth="1"/>
    <col min="3" max="3" width="15.90625" bestFit="1" customWidth="1"/>
    <col min="4" max="5" width="10.81640625" bestFit="1" customWidth="1"/>
    <col min="6" max="7" width="11.08984375" bestFit="1" customWidth="1"/>
    <col min="8" max="8" width="11.36328125" bestFit="1" customWidth="1"/>
    <col min="9" max="9" width="12.26953125" bestFit="1" customWidth="1"/>
    <col min="10" max="10" width="14.6328125" bestFit="1" customWidth="1"/>
    <col min="11" max="12" width="14" bestFit="1" customWidth="1"/>
    <col min="13" max="13" width="11.26953125" bestFit="1" customWidth="1"/>
    <col min="14" max="14" width="15.54296875" bestFit="1" customWidth="1"/>
    <col min="15" max="15" width="11.81640625" bestFit="1" customWidth="1"/>
    <col min="16" max="16" width="10.1796875" bestFit="1" customWidth="1"/>
    <col min="17" max="17" width="9.1796875" bestFit="1" customWidth="1"/>
    <col min="18" max="18" width="15.1796875" bestFit="1" customWidth="1"/>
    <col min="19" max="19" width="12.26953125" bestFit="1" customWidth="1"/>
    <col min="20" max="20" width="11.7265625" bestFit="1" customWidth="1"/>
  </cols>
  <sheetData>
    <row r="2" spans="2:9" ht="15.5" x14ac:dyDescent="0.35">
      <c r="B2" s="21" t="s">
        <v>22</v>
      </c>
      <c r="C2" s="21"/>
      <c r="D2" s="21"/>
      <c r="E2" s="21"/>
      <c r="F2" s="1"/>
      <c r="G2" s="1"/>
      <c r="H2" s="86"/>
    </row>
    <row r="3" spans="2:9" ht="15.5" x14ac:dyDescent="0.35">
      <c r="B3" s="21" t="s">
        <v>25</v>
      </c>
      <c r="C3" s="21"/>
      <c r="D3" s="21"/>
      <c r="E3" s="21"/>
      <c r="F3" s="1"/>
      <c r="G3" s="1"/>
      <c r="H3" s="86"/>
    </row>
    <row r="4" spans="2:9" ht="15.5" x14ac:dyDescent="0.35">
      <c r="B4" s="21" t="s">
        <v>179</v>
      </c>
      <c r="C4" s="21"/>
      <c r="D4" s="21"/>
      <c r="E4" s="21"/>
      <c r="F4" s="1"/>
      <c r="G4" s="1"/>
      <c r="H4" s="86"/>
    </row>
    <row r="5" spans="2:9" ht="15.5" x14ac:dyDescent="0.35">
      <c r="B5" s="21" t="s">
        <v>182</v>
      </c>
      <c r="C5" s="21"/>
      <c r="D5" s="21"/>
      <c r="E5" s="21"/>
      <c r="F5" s="1"/>
      <c r="G5" s="1"/>
      <c r="H5" s="86"/>
    </row>
    <row r="6" spans="2:9" ht="15.5" x14ac:dyDescent="0.35">
      <c r="B6" s="21" t="s">
        <v>183</v>
      </c>
      <c r="C6" s="21"/>
      <c r="D6" s="21"/>
      <c r="E6" s="21"/>
      <c r="F6" s="1"/>
      <c r="G6" s="1"/>
      <c r="H6" s="86"/>
    </row>
    <row r="7" spans="2:9" ht="15.5" x14ac:dyDescent="0.35">
      <c r="B7" s="21" t="s">
        <v>203</v>
      </c>
      <c r="C7" s="21"/>
      <c r="D7" s="21"/>
      <c r="E7" s="21"/>
      <c r="F7" s="1"/>
      <c r="G7" s="1"/>
      <c r="H7" s="86"/>
    </row>
    <row r="8" spans="2:9" ht="18" x14ac:dyDescent="0.4">
      <c r="B8" s="3"/>
      <c r="C8" s="3"/>
      <c r="D8" s="3"/>
      <c r="E8" s="3"/>
      <c r="F8" s="2"/>
      <c r="G8" s="2"/>
    </row>
    <row r="9" spans="2:9" ht="15.5" x14ac:dyDescent="0.35">
      <c r="B9" s="98" t="s">
        <v>208</v>
      </c>
      <c r="C9" s="98"/>
      <c r="D9" s="98"/>
      <c r="E9" s="98"/>
      <c r="F9" s="159"/>
      <c r="G9" s="159"/>
      <c r="H9" s="157"/>
      <c r="I9" s="157"/>
    </row>
    <row r="10" spans="2:9" ht="15.5" x14ac:dyDescent="0.35">
      <c r="B10" s="98" t="s">
        <v>210</v>
      </c>
      <c r="C10" s="157"/>
      <c r="D10" s="157"/>
      <c r="E10" s="157"/>
      <c r="F10" s="157"/>
      <c r="G10" s="157"/>
      <c r="H10" s="157"/>
      <c r="I10" s="157"/>
    </row>
    <row r="11" spans="2:9" ht="15.5" x14ac:dyDescent="0.35">
      <c r="B11" s="98" t="s">
        <v>209</v>
      </c>
      <c r="C11" s="157"/>
      <c r="D11" s="157"/>
      <c r="E11" s="157"/>
      <c r="F11" s="157"/>
      <c r="G11" s="157"/>
      <c r="H11" s="157"/>
      <c r="I11" s="157"/>
    </row>
    <row r="12" spans="2:9" ht="15.5" x14ac:dyDescent="0.35">
      <c r="B12" s="98" t="s">
        <v>207</v>
      </c>
      <c r="C12" s="157"/>
      <c r="D12" s="157"/>
      <c r="E12" s="157"/>
      <c r="F12" s="157"/>
      <c r="G12" s="157"/>
      <c r="H12" s="157"/>
      <c r="I12" s="157"/>
    </row>
    <row r="13" spans="2:9" ht="15" x14ac:dyDescent="0.3">
      <c r="B13" s="98"/>
    </row>
    <row r="14" spans="2:9" x14ac:dyDescent="0.25">
      <c r="B14" s="300" t="s">
        <v>155</v>
      </c>
      <c r="C14" t="s">
        <v>2</v>
      </c>
    </row>
    <row r="16" spans="2:9" ht="17.5" x14ac:dyDescent="0.35">
      <c r="B16" s="300" t="s">
        <v>229</v>
      </c>
      <c r="C16" s="300" t="s">
        <v>225</v>
      </c>
      <c r="G16" s="3"/>
    </row>
    <row r="17" spans="2:6" x14ac:dyDescent="0.25">
      <c r="B17" s="300" t="s">
        <v>227</v>
      </c>
      <c r="C17">
        <v>2019</v>
      </c>
      <c r="D17">
        <v>2020</v>
      </c>
      <c r="E17">
        <v>2021</v>
      </c>
      <c r="F17" t="s">
        <v>226</v>
      </c>
    </row>
    <row r="18" spans="2:6" x14ac:dyDescent="0.25">
      <c r="B18" s="37" t="s">
        <v>38</v>
      </c>
      <c r="C18">
        <v>95000</v>
      </c>
      <c r="D18">
        <v>95000</v>
      </c>
      <c r="E18">
        <v>100000</v>
      </c>
      <c r="F18">
        <v>290000</v>
      </c>
    </row>
    <row r="19" spans="2:6" x14ac:dyDescent="0.25">
      <c r="B19" s="37" t="s">
        <v>86</v>
      </c>
      <c r="C19">
        <v>7187875</v>
      </c>
      <c r="D19">
        <v>7127170</v>
      </c>
      <c r="E19">
        <v>8252900</v>
      </c>
      <c r="F19">
        <v>22567945</v>
      </c>
    </row>
    <row r="20" spans="2:6" x14ac:dyDescent="0.25">
      <c r="B20" s="37" t="s">
        <v>37</v>
      </c>
      <c r="C20">
        <v>300000</v>
      </c>
      <c r="D20">
        <v>300000</v>
      </c>
      <c r="E20">
        <v>300000</v>
      </c>
      <c r="F20">
        <v>900000</v>
      </c>
    </row>
    <row r="21" spans="2:6" x14ac:dyDescent="0.25">
      <c r="B21" s="37" t="s">
        <v>167</v>
      </c>
      <c r="C21">
        <v>735000</v>
      </c>
      <c r="D21">
        <v>760000</v>
      </c>
      <c r="E21">
        <v>794000</v>
      </c>
      <c r="F21">
        <v>2289000</v>
      </c>
    </row>
    <row r="22" spans="2:6" x14ac:dyDescent="0.25">
      <c r="B22" s="37" t="s">
        <v>168</v>
      </c>
      <c r="C22">
        <v>9416330</v>
      </c>
      <c r="D22">
        <v>9364870</v>
      </c>
      <c r="E22">
        <v>10833550</v>
      </c>
      <c r="F22">
        <v>29614750</v>
      </c>
    </row>
    <row r="23" spans="2:6" x14ac:dyDescent="0.25">
      <c r="B23" s="37" t="s">
        <v>39</v>
      </c>
      <c r="C23">
        <v>690144.00000000012</v>
      </c>
      <c r="D23">
        <v>664263.60000000009</v>
      </c>
      <c r="E23">
        <v>832486.20000000007</v>
      </c>
      <c r="F23">
        <v>2186893.8000000003</v>
      </c>
    </row>
    <row r="24" spans="2:6" x14ac:dyDescent="0.25">
      <c r="B24" s="37" t="s">
        <v>226</v>
      </c>
      <c r="C24">
        <v>18424349</v>
      </c>
      <c r="D24">
        <v>18311303.600000001</v>
      </c>
      <c r="E24">
        <v>21112936.199999999</v>
      </c>
      <c r="F24">
        <v>57848588.799999997</v>
      </c>
    </row>
    <row r="25" spans="2:6" x14ac:dyDescent="0.25">
      <c r="E25" s="38"/>
      <c r="F25" s="38"/>
    </row>
    <row r="29" spans="2:6" x14ac:dyDescent="0.25">
      <c r="E29" s="38"/>
      <c r="F29" s="38"/>
    </row>
    <row r="31" spans="2:6" x14ac:dyDescent="0.25">
      <c r="E31" s="38"/>
      <c r="F31" s="38"/>
    </row>
    <row r="34" spans="2:12" x14ac:dyDescent="0.25">
      <c r="E34" s="38"/>
      <c r="F34" s="38"/>
    </row>
    <row r="35" spans="2:12" ht="13" x14ac:dyDescent="0.3">
      <c r="E35" s="46"/>
      <c r="F35" s="38"/>
    </row>
    <row r="36" spans="2:12" ht="18" x14ac:dyDescent="0.25">
      <c r="B36" s="340" t="s">
        <v>184</v>
      </c>
      <c r="C36" s="340"/>
      <c r="D36" s="340"/>
      <c r="E36" s="50" t="s">
        <v>27</v>
      </c>
      <c r="F36" s="342" t="str">
        <f>C14</f>
        <v>Brisbane</v>
      </c>
      <c r="G36" s="342"/>
      <c r="H36" s="341" t="s">
        <v>153</v>
      </c>
      <c r="I36" s="342"/>
      <c r="J36" s="341" t="s">
        <v>169</v>
      </c>
      <c r="K36" s="342"/>
      <c r="L36" s="164">
        <f>G38</f>
        <v>2021</v>
      </c>
    </row>
    <row r="37" spans="2:12" ht="16" thickBot="1" x14ac:dyDescent="0.4">
      <c r="B37" s="22"/>
      <c r="C37" s="1"/>
      <c r="D37" s="1"/>
      <c r="E37" s="335" t="s">
        <v>28</v>
      </c>
      <c r="F37" s="336"/>
      <c r="G37" s="337"/>
      <c r="H37" s="338" t="s">
        <v>29</v>
      </c>
      <c r="I37" s="339"/>
      <c r="J37" s="161" t="s">
        <v>30</v>
      </c>
      <c r="K37" s="162" t="s">
        <v>31</v>
      </c>
      <c r="L37" s="163" t="s">
        <v>32</v>
      </c>
    </row>
    <row r="38" spans="2:12" ht="15.5" x14ac:dyDescent="0.35">
      <c r="B38" s="26"/>
      <c r="C38" s="27"/>
      <c r="D38" s="27"/>
      <c r="E38" s="160">
        <f>'Omega Pty Ltd'!U5</f>
        <v>2019</v>
      </c>
      <c r="F38" s="160">
        <f>E38+1</f>
        <v>2020</v>
      </c>
      <c r="G38" s="160">
        <f>F38+1</f>
        <v>2021</v>
      </c>
      <c r="H38" s="51">
        <f>G38+1</f>
        <v>2022</v>
      </c>
      <c r="I38" s="51" t="s">
        <v>33</v>
      </c>
      <c r="J38" s="54">
        <f>H38</f>
        <v>2022</v>
      </c>
      <c r="K38" s="55">
        <f>H38</f>
        <v>2022</v>
      </c>
      <c r="L38" s="56">
        <f>H38</f>
        <v>2022</v>
      </c>
    </row>
    <row r="39" spans="2:12" ht="15.5" x14ac:dyDescent="0.35">
      <c r="B39" s="39" t="s">
        <v>87</v>
      </c>
      <c r="C39" s="1"/>
      <c r="D39" s="1"/>
      <c r="E39" s="60">
        <f>GETPIVOTDATA("AMOUNT",$B$16,"YEAR",2019,"FIN TYPE","REVENUE")</f>
        <v>9416330</v>
      </c>
      <c r="F39" s="60">
        <f>GETPIVOTDATA("AMOUNT",$B$16,"YEAR",2020,"FIN TYPE","REVENUE")</f>
        <v>9364870</v>
      </c>
      <c r="G39" s="60">
        <f>GETPIVOTDATA("AMOUNT",$B$16,"YEAR",2021,"FIN TYPE","REVENUE")</f>
        <v>10833550</v>
      </c>
      <c r="H39" s="52">
        <f>FORECAST(H38,E39:G39,E38:G38)</f>
        <v>11288803.333333254</v>
      </c>
      <c r="I39" s="291">
        <f>(H39-G39)/ABS(G39)</f>
        <v>4.202254416449399E-2</v>
      </c>
      <c r="J39" s="57">
        <f>$G$39*90%</f>
        <v>9750195</v>
      </c>
      <c r="K39" s="57">
        <f>$G$39*110%</f>
        <v>11916905.000000002</v>
      </c>
      <c r="L39" s="57">
        <f>$G$39*120%</f>
        <v>13000260</v>
      </c>
    </row>
    <row r="40" spans="2:12" ht="15.5" x14ac:dyDescent="0.35">
      <c r="B40" s="22"/>
      <c r="C40" s="1"/>
      <c r="D40" s="1"/>
      <c r="E40" s="60"/>
      <c r="F40" s="60"/>
      <c r="G40" s="61"/>
      <c r="H40" s="52"/>
      <c r="I40" s="291"/>
      <c r="J40" s="58"/>
      <c r="K40" s="58"/>
      <c r="L40" s="58"/>
    </row>
    <row r="41" spans="2:12" ht="16" thickBot="1" x14ac:dyDescent="0.4">
      <c r="B41" s="28" t="s">
        <v>20</v>
      </c>
      <c r="C41" s="42" t="s">
        <v>34</v>
      </c>
      <c r="D41" s="29"/>
      <c r="E41" s="62">
        <f>GETPIVOTDATA("AMOUNT",$B$16,"YEAR",2019,"FIN TYPE","COGS")</f>
        <v>7187875</v>
      </c>
      <c r="F41" s="62">
        <f>GETPIVOTDATA("AMOUNT",$B$16,"YEAR",2020,"FIN TYPE","COGS")</f>
        <v>7127170</v>
      </c>
      <c r="G41" s="62">
        <f>GETPIVOTDATA("AMOUNT",$B$16,"YEAR",2021,"FIN TYPE","COGS")</f>
        <v>8252900</v>
      </c>
      <c r="H41" s="52">
        <f>FORECAST(H38,E41:G41,E38:G38)</f>
        <v>8587673.3333333731</v>
      </c>
      <c r="I41" s="291">
        <f t="shared" ref="I41:I49" si="0">(H41-G41)/ABS(G41)</f>
        <v>4.0564326883080259E-2</v>
      </c>
      <c r="J41" s="57">
        <f>G41*90%</f>
        <v>7427610</v>
      </c>
      <c r="K41" s="57">
        <f>G41*110%</f>
        <v>9078190</v>
      </c>
      <c r="L41" s="57">
        <f>G41*120%</f>
        <v>9903480</v>
      </c>
    </row>
    <row r="42" spans="2:12" ht="16" thickTop="1" x14ac:dyDescent="0.35">
      <c r="B42" s="41" t="s">
        <v>200</v>
      </c>
      <c r="C42" s="25"/>
      <c r="D42" s="25"/>
      <c r="E42" s="60">
        <f>E39-E41</f>
        <v>2228455</v>
      </c>
      <c r="F42" s="60">
        <f>F39-F41</f>
        <v>2237700</v>
      </c>
      <c r="G42" s="60">
        <f>G39-G41</f>
        <v>2580650</v>
      </c>
      <c r="H42" s="52">
        <f>FORECAST($H$38,E42:G42,$E$38:$G$38)</f>
        <v>2701130</v>
      </c>
      <c r="I42" s="291">
        <f t="shared" si="0"/>
        <v>4.6685912463914132E-2</v>
      </c>
      <c r="J42" s="57">
        <f>J39-J41</f>
        <v>2322585</v>
      </c>
      <c r="K42" s="57">
        <f t="shared" ref="K42:L42" si="1">K39-K41</f>
        <v>2838715.0000000019</v>
      </c>
      <c r="L42" s="57">
        <f t="shared" si="1"/>
        <v>3096780</v>
      </c>
    </row>
    <row r="43" spans="2:12" ht="15.5" x14ac:dyDescent="0.35">
      <c r="B43" s="22"/>
      <c r="C43" s="43" t="s">
        <v>36</v>
      </c>
      <c r="D43" s="1"/>
      <c r="E43" s="60"/>
      <c r="F43" s="60"/>
      <c r="G43" s="61"/>
      <c r="H43" s="52"/>
      <c r="I43" s="291"/>
      <c r="J43" s="58"/>
      <c r="K43" s="58"/>
      <c r="L43" s="58"/>
    </row>
    <row r="44" spans="2:12" ht="15.5" x14ac:dyDescent="0.35">
      <c r="B44" s="22" t="s">
        <v>20</v>
      </c>
      <c r="C44" s="1"/>
      <c r="D44" s="1" t="s">
        <v>196</v>
      </c>
      <c r="E44" s="63">
        <f>GETPIVOTDATA("AMOUNT",$B$16,"YEAR",2019,"FIN TYPE","LABOUR")</f>
        <v>735000</v>
      </c>
      <c r="F44" s="63">
        <f>GETPIVOTDATA("AMOUNT",$B$16,"YEAR",2020,"FIN TYPE","LABOUR")</f>
        <v>760000</v>
      </c>
      <c r="G44" s="63">
        <f>GETPIVOTDATA("AMOUNT",$B$16,"YEAR",2021,"FIN TYPE","LABOUR")</f>
        <v>794000</v>
      </c>
      <c r="H44" s="52">
        <f>FORECAST(H38,E44:G44,E38:G38)</f>
        <v>822000</v>
      </c>
      <c r="I44" s="291">
        <f t="shared" si="0"/>
        <v>3.5264483627204031E-2</v>
      </c>
      <c r="J44" s="57">
        <f>G44*90%</f>
        <v>714600</v>
      </c>
      <c r="K44" s="57">
        <f>G44*110%</f>
        <v>873400.00000000012</v>
      </c>
      <c r="L44" s="57">
        <f>G44*120%</f>
        <v>952800</v>
      </c>
    </row>
    <row r="45" spans="2:12" ht="15.5" x14ac:dyDescent="0.35">
      <c r="B45" s="22"/>
      <c r="C45" s="1"/>
      <c r="D45" s="1" t="s">
        <v>37</v>
      </c>
      <c r="E45" s="63">
        <f>GETPIVOTDATA("AMOUNT",$B$16,"YEAR",2019,"FIN TYPE","FAOC")</f>
        <v>300000</v>
      </c>
      <c r="F45" s="63">
        <f>GETPIVOTDATA("AMOUNT",$B$16,"YEAR",2020,"FIN TYPE","FAOC")</f>
        <v>300000</v>
      </c>
      <c r="G45" s="63">
        <f>GETPIVOTDATA("AMOUNT",$B$16,"YEAR",2021,"FIN TYPE","FAOC")</f>
        <v>300000</v>
      </c>
      <c r="H45" s="52">
        <f>FORECAST($H$38,E45:G45,$E$38:$G$38)</f>
        <v>300000</v>
      </c>
      <c r="I45" s="291">
        <f t="shared" si="0"/>
        <v>0</v>
      </c>
      <c r="J45" s="57">
        <f>G45*90%</f>
        <v>270000</v>
      </c>
      <c r="K45" s="57">
        <f t="shared" ref="K45:K47" si="2">G45*110%</f>
        <v>330000</v>
      </c>
      <c r="L45" s="57">
        <f t="shared" ref="L45:L47" si="3">G45*120%</f>
        <v>360000</v>
      </c>
    </row>
    <row r="46" spans="2:12" ht="15.5" x14ac:dyDescent="0.35">
      <c r="B46" s="22"/>
      <c r="C46" s="1"/>
      <c r="D46" s="1" t="s">
        <v>38</v>
      </c>
      <c r="E46" s="63">
        <f>GETPIVOTDATA("AMOUNT",$B$16,"YEAR",2019,"FIN TYPE","APC")</f>
        <v>95000</v>
      </c>
      <c r="F46" s="63">
        <f>GETPIVOTDATA("AMOUNT",$B$16,"YEAR",2020,"FIN TYPE","APC")</f>
        <v>95000</v>
      </c>
      <c r="G46" s="63">
        <f>GETPIVOTDATA("AMOUNT",$B$16,"YEAR",2021,"FIN TYPE","APC")</f>
        <v>100000</v>
      </c>
      <c r="H46" s="52">
        <f t="shared" ref="H46:H47" si="4">FORECAST($H$38,E46:G46,$E$38:$G$38)</f>
        <v>101666.66666666698</v>
      </c>
      <c r="I46" s="291">
        <f t="shared" si="0"/>
        <v>1.6666666666669772E-2</v>
      </c>
      <c r="J46" s="57">
        <f>G46*90%</f>
        <v>90000</v>
      </c>
      <c r="K46" s="57">
        <f t="shared" si="2"/>
        <v>110000.00000000001</v>
      </c>
      <c r="L46" s="57">
        <f t="shared" si="3"/>
        <v>120000</v>
      </c>
    </row>
    <row r="47" spans="2:12" ht="15.5" x14ac:dyDescent="0.35">
      <c r="B47" s="22"/>
      <c r="C47" s="1"/>
      <c r="D47" s="1" t="s">
        <v>39</v>
      </c>
      <c r="E47" s="63">
        <f>GETPIVOTDATA("AMOUNT",$B$16,"YEAR",2019,"FIN TYPE","VUAOC")</f>
        <v>690144.00000000012</v>
      </c>
      <c r="F47" s="63">
        <f>GETPIVOTDATA("AMOUNT",$B$16,"YEAR",2020,"FIN TYPE","VUAOC")</f>
        <v>664263.60000000009</v>
      </c>
      <c r="G47" s="63">
        <f>GETPIVOTDATA("AMOUNT",$B$16,"YEAR",2021,"FIN TYPE","VUAOC")</f>
        <v>832486.20000000007</v>
      </c>
      <c r="H47" s="52">
        <f t="shared" si="4"/>
        <v>871306.80000001192</v>
      </c>
      <c r="I47" s="291">
        <f t="shared" si="0"/>
        <v>4.6632124352345837E-2</v>
      </c>
      <c r="J47" s="57">
        <f>G47*90%</f>
        <v>749237.58000000007</v>
      </c>
      <c r="K47" s="57">
        <f t="shared" si="2"/>
        <v>915734.82000000018</v>
      </c>
      <c r="L47" s="57">
        <f t="shared" si="3"/>
        <v>998983.44000000006</v>
      </c>
    </row>
    <row r="48" spans="2:12" ht="16" thickBot="1" x14ac:dyDescent="0.4">
      <c r="B48" s="23"/>
      <c r="C48" s="24"/>
      <c r="D48" s="24"/>
      <c r="E48" s="60"/>
      <c r="F48" s="60"/>
      <c r="G48" s="61"/>
      <c r="H48" s="52"/>
      <c r="I48" s="291"/>
      <c r="J48" s="58"/>
      <c r="K48" s="58"/>
      <c r="L48" s="58"/>
    </row>
    <row r="49" spans="2:12" ht="15.5" x14ac:dyDescent="0.35">
      <c r="B49" s="40" t="s">
        <v>201</v>
      </c>
      <c r="C49" s="1"/>
      <c r="D49" s="1"/>
      <c r="E49" s="108">
        <f>E42-SUM(E44:E47)</f>
        <v>408311</v>
      </c>
      <c r="F49" s="64">
        <f>F42-SUM(F44:F47)</f>
        <v>418436.39999999991</v>
      </c>
      <c r="G49" s="64">
        <f>G42-SUM(G44:G47)</f>
        <v>554163.79999999981</v>
      </c>
      <c r="H49" s="52">
        <f>FORECAST($H$38,E49:G49,$E$38:$G$38)</f>
        <v>606156.53333330154</v>
      </c>
      <c r="I49" s="291">
        <f t="shared" si="0"/>
        <v>9.3821959018798681E-2</v>
      </c>
      <c r="J49" s="293">
        <f>J42-SUM(J44:J47)</f>
        <v>498747.41999999993</v>
      </c>
      <c r="K49" s="293">
        <f>K42-SUM(K44:K47)</f>
        <v>609580.18000000156</v>
      </c>
      <c r="L49" s="293">
        <f>L42-SUM(L44:L47)</f>
        <v>664996.56000000006</v>
      </c>
    </row>
    <row r="50" spans="2:12" ht="16" thickBot="1" x14ac:dyDescent="0.4">
      <c r="B50" s="44"/>
      <c r="C50" s="24"/>
      <c r="D50" s="24"/>
      <c r="E50" s="109"/>
      <c r="F50" s="65"/>
      <c r="G50" s="65"/>
      <c r="H50" s="53"/>
      <c r="I50" s="292"/>
      <c r="J50" s="59"/>
      <c r="K50" s="59"/>
      <c r="L50" s="59"/>
    </row>
    <row r="51" spans="2:12" ht="15.5" x14ac:dyDescent="0.35">
      <c r="B51" s="103" t="s">
        <v>180</v>
      </c>
      <c r="C51" s="27"/>
      <c r="D51" s="27"/>
      <c r="E51" s="110"/>
      <c r="F51" s="104"/>
      <c r="G51" s="104"/>
      <c r="H51" s="111"/>
      <c r="I51" s="146"/>
      <c r="J51" s="112"/>
      <c r="K51" s="105"/>
      <c r="L51" s="106"/>
    </row>
    <row r="52" spans="2:12" ht="15.5" x14ac:dyDescent="0.35">
      <c r="B52" s="40" t="s">
        <v>181</v>
      </c>
      <c r="C52" s="1"/>
      <c r="D52" s="1"/>
      <c r="E52" s="134">
        <f>E42/E39</f>
        <v>0.23665854956230292</v>
      </c>
      <c r="F52" s="135">
        <f t="shared" ref="F52:L52" si="5">F42/F39</f>
        <v>0.23894618932243586</v>
      </c>
      <c r="G52" s="135">
        <f t="shared" si="5"/>
        <v>0.23820908197220672</v>
      </c>
      <c r="H52" s="149">
        <f>FORECAST($H$38,E52:G52,$E$38:$G$38)</f>
        <v>0.2394884726955524</v>
      </c>
      <c r="I52" s="147">
        <f>(H52-G52)</f>
        <v>1.2793907233456803E-3</v>
      </c>
      <c r="J52" s="136">
        <f t="shared" si="5"/>
        <v>0.23820908197220672</v>
      </c>
      <c r="K52" s="137">
        <f t="shared" si="5"/>
        <v>0.23820908197220683</v>
      </c>
      <c r="L52" s="138">
        <f t="shared" si="5"/>
        <v>0.23820908197220672</v>
      </c>
    </row>
    <row r="53" spans="2:12" ht="16" thickBot="1" x14ac:dyDescent="0.4">
      <c r="B53" s="107" t="s">
        <v>202</v>
      </c>
      <c r="C53" s="24"/>
      <c r="D53" s="24"/>
      <c r="E53" s="139">
        <f>E49/E39</f>
        <v>4.3362010464798921E-2</v>
      </c>
      <c r="F53" s="140">
        <f>F49/F39</f>
        <v>4.4681495845644403E-2</v>
      </c>
      <c r="G53" s="140">
        <f t="shared" ref="G53:L53" si="6">G49/G39</f>
        <v>5.1152558487291777E-2</v>
      </c>
      <c r="H53" s="150">
        <f>FORECAST($H$38,E53:G53,$E$38:$G$38)</f>
        <v>5.4189236288404885E-2</v>
      </c>
      <c r="I53" s="148">
        <f>(H53-G53)/ABS(G53)</f>
        <v>5.936512055144872E-2</v>
      </c>
      <c r="J53" s="141">
        <f t="shared" si="6"/>
        <v>5.1152558487291784E-2</v>
      </c>
      <c r="K53" s="142">
        <f t="shared" si="6"/>
        <v>5.1152558487291916E-2</v>
      </c>
      <c r="L53" s="143">
        <f t="shared" si="6"/>
        <v>5.1152558487291798E-2</v>
      </c>
    </row>
    <row r="56" spans="2:12" ht="15.5" x14ac:dyDescent="0.35">
      <c r="B56" s="154" t="s">
        <v>211</v>
      </c>
      <c r="C56" s="100"/>
      <c r="D56" s="100"/>
      <c r="E56" s="100"/>
      <c r="F56" s="100"/>
      <c r="G56" s="158"/>
      <c r="H56" s="100"/>
      <c r="I56" s="144"/>
    </row>
    <row r="57" spans="2:12" ht="13" x14ac:dyDescent="0.3">
      <c r="B57" s="100" t="s">
        <v>212</v>
      </c>
      <c r="C57" s="100"/>
      <c r="D57" s="100"/>
      <c r="E57" s="100"/>
      <c r="F57" s="100"/>
      <c r="G57" s="158"/>
      <c r="H57" s="100"/>
      <c r="I57" s="144"/>
    </row>
    <row r="58" spans="2:12" ht="13" x14ac:dyDescent="0.3">
      <c r="B58" s="100" t="s">
        <v>207</v>
      </c>
      <c r="C58" s="100"/>
      <c r="D58" s="100"/>
      <c r="E58" s="100"/>
      <c r="F58" s="100"/>
      <c r="G58" s="158"/>
      <c r="H58" s="100"/>
      <c r="I58" s="144"/>
    </row>
    <row r="59" spans="2:12" x14ac:dyDescent="0.25">
      <c r="G59" s="30"/>
      <c r="I59" s="144"/>
    </row>
    <row r="60" spans="2:12" x14ac:dyDescent="0.25">
      <c r="B60" s="300" t="s">
        <v>154</v>
      </c>
      <c r="C60" s="37">
        <v>2019</v>
      </c>
      <c r="I60" s="145"/>
    </row>
    <row r="62" spans="2:12" x14ac:dyDescent="0.25">
      <c r="B62" s="300" t="s">
        <v>229</v>
      </c>
      <c r="C62" s="300" t="s">
        <v>225</v>
      </c>
    </row>
    <row r="63" spans="2:12" x14ac:dyDescent="0.25">
      <c r="B63" s="300" t="s">
        <v>227</v>
      </c>
      <c r="C63" t="s">
        <v>2</v>
      </c>
      <c r="D63" t="s">
        <v>5</v>
      </c>
      <c r="E63" t="s">
        <v>3</v>
      </c>
      <c r="F63" t="s">
        <v>4</v>
      </c>
      <c r="G63" t="s">
        <v>226</v>
      </c>
    </row>
    <row r="64" spans="2:12" x14ac:dyDescent="0.25">
      <c r="B64" s="37" t="s">
        <v>38</v>
      </c>
      <c r="C64">
        <v>95000</v>
      </c>
      <c r="D64">
        <v>40000</v>
      </c>
      <c r="E64">
        <v>90000</v>
      </c>
      <c r="F64">
        <v>60000</v>
      </c>
      <c r="G64">
        <v>285000</v>
      </c>
    </row>
    <row r="65" spans="2:11" x14ac:dyDescent="0.25">
      <c r="B65" s="37" t="s">
        <v>86</v>
      </c>
      <c r="C65">
        <v>7187875</v>
      </c>
      <c r="D65">
        <v>3058185</v>
      </c>
      <c r="E65">
        <v>5497360</v>
      </c>
      <c r="F65">
        <v>3461355</v>
      </c>
      <c r="G65">
        <v>19204775</v>
      </c>
    </row>
    <row r="66" spans="2:11" x14ac:dyDescent="0.25">
      <c r="B66" s="37" t="s">
        <v>37</v>
      </c>
      <c r="C66">
        <v>300000</v>
      </c>
      <c r="D66">
        <v>115000</v>
      </c>
      <c r="E66">
        <v>285000</v>
      </c>
      <c r="F66">
        <v>130000</v>
      </c>
      <c r="G66">
        <v>830000</v>
      </c>
    </row>
    <row r="67" spans="2:11" x14ac:dyDescent="0.25">
      <c r="B67" s="37" t="s">
        <v>167</v>
      </c>
      <c r="C67">
        <v>735000</v>
      </c>
      <c r="D67">
        <v>347000</v>
      </c>
      <c r="E67">
        <v>677000</v>
      </c>
      <c r="F67">
        <v>405000</v>
      </c>
      <c r="G67">
        <v>2164000</v>
      </c>
    </row>
    <row r="68" spans="2:11" x14ac:dyDescent="0.25">
      <c r="B68" s="37" t="s">
        <v>168</v>
      </c>
      <c r="C68">
        <v>9416330</v>
      </c>
      <c r="D68">
        <v>4022670</v>
      </c>
      <c r="E68">
        <v>7200320</v>
      </c>
      <c r="F68">
        <v>4536080</v>
      </c>
      <c r="G68">
        <v>25175400</v>
      </c>
    </row>
    <row r="69" spans="2:11" x14ac:dyDescent="0.25">
      <c r="B69" s="37" t="s">
        <v>39</v>
      </c>
      <c r="C69">
        <v>690144.00000000012</v>
      </c>
      <c r="D69">
        <v>185068.80000000002</v>
      </c>
      <c r="E69">
        <v>440756.4</v>
      </c>
      <c r="F69">
        <v>315903</v>
      </c>
      <c r="G69">
        <v>1631872.2000000002</v>
      </c>
    </row>
    <row r="70" spans="2:11" x14ac:dyDescent="0.25">
      <c r="B70" s="37" t="s">
        <v>226</v>
      </c>
      <c r="C70">
        <v>18424349</v>
      </c>
      <c r="D70">
        <v>7767923.7999999998</v>
      </c>
      <c r="E70">
        <v>14190436.4</v>
      </c>
      <c r="F70">
        <v>8908338</v>
      </c>
      <c r="G70">
        <v>49291047.200000003</v>
      </c>
    </row>
    <row r="72" spans="2:11" x14ac:dyDescent="0.25">
      <c r="B72" s="37"/>
      <c r="C72" s="38"/>
      <c r="D72" s="38"/>
      <c r="E72" s="38"/>
      <c r="F72" s="38"/>
      <c r="G72" s="38"/>
    </row>
    <row r="74" spans="2:11" ht="13.5" thickBot="1" x14ac:dyDescent="0.35">
      <c r="B74" s="45" t="s">
        <v>88</v>
      </c>
    </row>
    <row r="75" spans="2:11" ht="20.25" customHeight="1" x14ac:dyDescent="0.4">
      <c r="B75" s="343" t="s">
        <v>89</v>
      </c>
      <c r="C75" s="344"/>
      <c r="D75" s="344"/>
      <c r="E75" s="118" t="s">
        <v>10</v>
      </c>
      <c r="F75" s="345">
        <f>C60</f>
        <v>2019</v>
      </c>
      <c r="G75" s="346"/>
      <c r="H75" s="347"/>
      <c r="J75" s="33"/>
      <c r="K75" s="49"/>
    </row>
    <row r="76" spans="2:11" ht="15.5" x14ac:dyDescent="0.35">
      <c r="B76" s="119"/>
      <c r="C76" s="47"/>
      <c r="D76" s="47"/>
      <c r="E76" s="332" t="s">
        <v>28</v>
      </c>
      <c r="F76" s="333"/>
      <c r="G76" s="333"/>
      <c r="H76" s="334"/>
    </row>
    <row r="77" spans="2:11" ht="15.5" x14ac:dyDescent="0.35">
      <c r="B77" s="119"/>
      <c r="C77" s="47"/>
      <c r="D77" s="47"/>
      <c r="E77" s="102" t="str">
        <f>C63</f>
        <v>Brisbane</v>
      </c>
      <c r="F77" s="102" t="str">
        <f>D63</f>
        <v>Cairns</v>
      </c>
      <c r="G77" s="102" t="str">
        <f>E63</f>
        <v>Gold Coast</v>
      </c>
      <c r="H77" s="120" t="str">
        <f>F63</f>
        <v>Townsville</v>
      </c>
    </row>
    <row r="78" spans="2:11" ht="15.5" x14ac:dyDescent="0.35">
      <c r="B78" s="121" t="s">
        <v>41</v>
      </c>
      <c r="C78" s="47"/>
      <c r="D78" s="47"/>
      <c r="E78" s="31">
        <f>GETPIVOTDATA("AMOUNT",$B$62,"LOCATION","Brisbane","FIN TYPE","REVENUE")</f>
        <v>9416330</v>
      </c>
      <c r="F78" s="31">
        <f>GETPIVOTDATA("AMOUNT",$B$62,"LOCATION","Cairns","FIN TYPE","REVENUE")</f>
        <v>4022670</v>
      </c>
      <c r="G78" s="31">
        <f>GETPIVOTDATA("AMOUNT",$B$62,"LOCATION","Gold Coast","FIN TYPE","REVENUE")</f>
        <v>7200320</v>
      </c>
      <c r="H78" s="31">
        <f>GETPIVOTDATA("AMOUNT",$B$62,"LOCATION","Townsville","FIN TYPE","REVENUE")</f>
        <v>4536080</v>
      </c>
    </row>
    <row r="79" spans="2:11" ht="15.5" x14ac:dyDescent="0.35">
      <c r="B79" s="119"/>
      <c r="C79" s="47"/>
      <c r="D79" s="47"/>
      <c r="E79" s="31"/>
      <c r="F79" s="31"/>
      <c r="G79" s="31"/>
      <c r="H79" s="122"/>
    </row>
    <row r="80" spans="2:11" ht="16" thickBot="1" x14ac:dyDescent="0.4">
      <c r="B80" s="123" t="s">
        <v>20</v>
      </c>
      <c r="C80" s="114" t="s">
        <v>34</v>
      </c>
      <c r="D80" s="113"/>
      <c r="E80" s="115">
        <f>GETPIVOTDATA("AMOUNT",$B$62,"LOCATION","Brisbane","FIN TYPE","COGS")</f>
        <v>7187875</v>
      </c>
      <c r="F80" s="115">
        <f>GETPIVOTDATA("AMOUNT",$B$62,"LOCATION","Cairns","FIN TYPE","COGS")</f>
        <v>3058185</v>
      </c>
      <c r="G80" s="115">
        <f>GETPIVOTDATA("AMOUNT",$B$62,"LOCATION","Gold Coast","FIN TYPE","COGS")</f>
        <v>5497360</v>
      </c>
      <c r="H80" s="124">
        <f>GETPIVOTDATA("AMOUNT",$B$62,"LOCATION","Townsville","FIN TYPE","COGS")</f>
        <v>3461355</v>
      </c>
    </row>
    <row r="81" spans="2:9" ht="16" thickTop="1" x14ac:dyDescent="0.35">
      <c r="B81" s="125" t="s">
        <v>200</v>
      </c>
      <c r="C81" s="116"/>
      <c r="D81" s="116"/>
      <c r="E81" s="117">
        <f>E78-E80</f>
        <v>2228455</v>
      </c>
      <c r="F81" s="117">
        <f>F78-F80</f>
        <v>964485</v>
      </c>
      <c r="G81" s="117">
        <f>G78-G80</f>
        <v>1702960</v>
      </c>
      <c r="H81" s="126">
        <f>H78-H80</f>
        <v>1074725</v>
      </c>
    </row>
    <row r="82" spans="2:9" ht="15.5" x14ac:dyDescent="0.35">
      <c r="B82" s="119"/>
      <c r="C82" s="48" t="s">
        <v>36</v>
      </c>
      <c r="D82" s="47"/>
      <c r="E82" s="31"/>
      <c r="F82" s="31"/>
      <c r="G82" s="31"/>
      <c r="H82" s="122"/>
    </row>
    <row r="83" spans="2:9" ht="15.5" x14ac:dyDescent="0.35">
      <c r="B83" s="119" t="s">
        <v>20</v>
      </c>
      <c r="C83" s="47"/>
      <c r="D83" s="47" t="s">
        <v>196</v>
      </c>
      <c r="E83" s="32">
        <f>GETPIVOTDATA("AMOUNT",$B$62,"LOCATION","Brisbane","FIN TYPE","LABOUR")</f>
        <v>735000</v>
      </c>
      <c r="F83" s="32">
        <f>GETPIVOTDATA("AMOUNT",$B$62,"LOCATION","Cairns","FIN TYPE","LABOUR")</f>
        <v>347000</v>
      </c>
      <c r="G83" s="32">
        <f>GETPIVOTDATA("AMOUNT",$B$62,"LOCATION","Gold Coast","FIN TYPE","LABOUR")</f>
        <v>677000</v>
      </c>
      <c r="H83" s="122">
        <f>GETPIVOTDATA("AMOUNT",$B$62,"LOCATION","Townsville","FIN TYPE","LABOUR")</f>
        <v>405000</v>
      </c>
    </row>
    <row r="84" spans="2:9" ht="15.5" x14ac:dyDescent="0.35">
      <c r="B84" s="119"/>
      <c r="C84" s="47"/>
      <c r="D84" s="47" t="s">
        <v>37</v>
      </c>
      <c r="E84" s="32">
        <f>GETPIVOTDATA("AMOUNT",$B$62,"LOCATION","Brisbane","FIN TYPE","FAOC")</f>
        <v>300000</v>
      </c>
      <c r="F84" s="32">
        <f>GETPIVOTDATA("AMOUNT",$B$62,"LOCATION","Cairns","FIN TYPE","FAOC")</f>
        <v>115000</v>
      </c>
      <c r="G84" s="32">
        <f>GETPIVOTDATA("AMOUNT",$B$62,"LOCATION","Gold Coast","FIN TYPE","FAOC")</f>
        <v>285000</v>
      </c>
      <c r="H84" s="122">
        <f>GETPIVOTDATA("AMOUNT",$B$62,"LOCATION","Townsville","FIN TYPE","FAOC")</f>
        <v>130000</v>
      </c>
    </row>
    <row r="85" spans="2:9" ht="15.5" x14ac:dyDescent="0.35">
      <c r="B85" s="119"/>
      <c r="C85" s="47"/>
      <c r="D85" s="47" t="s">
        <v>38</v>
      </c>
      <c r="E85" s="32">
        <f>GETPIVOTDATA("AMOUNT",$B$62,"LOCATION","Brisbane","FIN TYPE","APC")</f>
        <v>95000</v>
      </c>
      <c r="F85" s="32">
        <f>GETPIVOTDATA("AMOUNT",$B$62,"LOCATION","Cairns","FIN TYPE","APC")</f>
        <v>40000</v>
      </c>
      <c r="G85" s="32">
        <f>GETPIVOTDATA("AMOUNT",$B$62,"LOCATION","Gold Coast","FIN TYPE","APC")</f>
        <v>90000</v>
      </c>
      <c r="H85" s="122">
        <f>GETPIVOTDATA("AMOUNT",$B$62,"LOCATION","Townsville","FIN TYPE","APC")</f>
        <v>60000</v>
      </c>
    </row>
    <row r="86" spans="2:9" ht="15.5" x14ac:dyDescent="0.35">
      <c r="B86" s="119"/>
      <c r="C86" s="47"/>
      <c r="D86" s="47" t="s">
        <v>39</v>
      </c>
      <c r="E86" s="32">
        <f>GETPIVOTDATA("AMOUNT",$B$62,"LOCATION","Brisbane","FIN TYPE","VUAOC")</f>
        <v>690144.00000000012</v>
      </c>
      <c r="F86" s="32">
        <f>GETPIVOTDATA("AMOUNT",$B$62,"LOCATION","Cairns","FIN TYPE","VUAOC")</f>
        <v>185068.80000000002</v>
      </c>
      <c r="G86" s="32">
        <f>GETPIVOTDATA("AMOUNT",$B$62,"LOCATION","Gold Coast","FIN TYPE","VUAOC")</f>
        <v>440756.4</v>
      </c>
      <c r="H86" s="122">
        <f>GETPIVOTDATA("AMOUNT",$B$62,"LOCATION","Townsville","FIN TYPE","VUAOC")</f>
        <v>315903</v>
      </c>
    </row>
    <row r="87" spans="2:9" ht="15.5" x14ac:dyDescent="0.35">
      <c r="B87" s="119"/>
      <c r="C87" s="47"/>
      <c r="D87" s="47"/>
      <c r="E87" s="31"/>
      <c r="F87" s="31"/>
      <c r="G87" s="31"/>
      <c r="H87" s="122"/>
    </row>
    <row r="88" spans="2:9" ht="16" thickBot="1" x14ac:dyDescent="0.4">
      <c r="B88" s="107" t="s">
        <v>201</v>
      </c>
      <c r="C88" s="127"/>
      <c r="D88" s="127"/>
      <c r="E88" s="128">
        <f>E81-SUM(E83:E86)</f>
        <v>408311</v>
      </c>
      <c r="F88" s="128">
        <f>F81-SUM(F83:F86)</f>
        <v>277416.19999999995</v>
      </c>
      <c r="G88" s="128">
        <f>G81-SUM(G83:G86)</f>
        <v>210203.60000000009</v>
      </c>
      <c r="H88" s="129">
        <f>H81-SUM(H83:H86)</f>
        <v>163822</v>
      </c>
      <c r="I88" s="30"/>
    </row>
    <row r="89" spans="2:9" ht="15.5" x14ac:dyDescent="0.35">
      <c r="B89" s="103" t="s">
        <v>180</v>
      </c>
      <c r="C89" s="27"/>
      <c r="D89" s="27"/>
      <c r="E89" s="130"/>
      <c r="F89" s="130"/>
      <c r="G89" s="130"/>
      <c r="H89" s="130"/>
    </row>
    <row r="90" spans="2:9" ht="15.5" x14ac:dyDescent="0.35">
      <c r="B90" s="40" t="s">
        <v>204</v>
      </c>
      <c r="C90" s="1"/>
      <c r="D90" s="1"/>
      <c r="E90" s="131">
        <f>E88/SUM($E$88:$H$88)</f>
        <v>0.38528890888516643</v>
      </c>
      <c r="F90" s="131">
        <f>F88/SUM($E$88:$H$88)</f>
        <v>0.26177444400241257</v>
      </c>
      <c r="G90" s="131">
        <f>G88/SUM($E$88:$H$88)</f>
        <v>0.19835154009501091</v>
      </c>
      <c r="H90" s="131">
        <f>H88/SUM($E$88:$H$88)</f>
        <v>0.1545851070174101</v>
      </c>
    </row>
    <row r="91" spans="2:9" ht="15.5" x14ac:dyDescent="0.35">
      <c r="B91" s="40" t="s">
        <v>181</v>
      </c>
      <c r="C91" s="1"/>
      <c r="D91" s="1"/>
      <c r="E91" s="132">
        <f>E81/E78</f>
        <v>0.23665854956230292</v>
      </c>
      <c r="F91" s="132">
        <f>F81/F78</f>
        <v>0.23976239661717216</v>
      </c>
      <c r="G91" s="132">
        <f>G81/G78</f>
        <v>0.23651171059064041</v>
      </c>
      <c r="H91" s="132">
        <f>H81/H78</f>
        <v>0.2369281405971676</v>
      </c>
    </row>
    <row r="92" spans="2:9" ht="16" thickBot="1" x14ac:dyDescent="0.4">
      <c r="B92" s="107" t="s">
        <v>202</v>
      </c>
      <c r="C92" s="24"/>
      <c r="D92" s="24"/>
      <c r="E92" s="133">
        <f>E88/E78</f>
        <v>4.3362010464798921E-2</v>
      </c>
      <c r="F92" s="133">
        <f>F88/F78</f>
        <v>6.8963201058003756E-2</v>
      </c>
      <c r="G92" s="133">
        <f>G88/G78</f>
        <v>2.9193646949024502E-2</v>
      </c>
      <c r="H92" s="133">
        <f>H88/H78</f>
        <v>3.6115324244722316E-2</v>
      </c>
    </row>
    <row r="95" spans="2:9" ht="15" x14ac:dyDescent="0.3">
      <c r="B95" s="21" t="s">
        <v>205</v>
      </c>
    </row>
  </sheetData>
  <dataConsolidate function="average" link="1"/>
  <mergeCells count="9">
    <mergeCell ref="E76:H76"/>
    <mergeCell ref="E37:G37"/>
    <mergeCell ref="H37:I37"/>
    <mergeCell ref="B36:D36"/>
    <mergeCell ref="J36:K36"/>
    <mergeCell ref="F36:G36"/>
    <mergeCell ref="H36:I36"/>
    <mergeCell ref="B75:D75"/>
    <mergeCell ref="F75:H75"/>
  </mergeCells>
  <pageMargins left="0.7" right="0.7" top="0.75" bottom="0.75" header="0.3" footer="0.3"/>
  <pageSetup paperSize="9"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7030A0"/>
  </sheetPr>
  <dimension ref="B2:AA34"/>
  <sheetViews>
    <sheetView topLeftCell="H6" zoomScale="85" zoomScaleNormal="85" workbookViewId="0">
      <selection activeCell="Q16" sqref="Q16"/>
    </sheetView>
  </sheetViews>
  <sheetFormatPr defaultRowHeight="12.5" x14ac:dyDescent="0.25"/>
  <cols>
    <col min="2" max="2" width="17.26953125" customWidth="1"/>
    <col min="3" max="3" width="19.1796875" customWidth="1"/>
    <col min="4" max="4" width="11.26953125" bestFit="1" customWidth="1"/>
    <col min="5" max="6" width="12" customWidth="1"/>
    <col min="7" max="7" width="12.453125" customWidth="1"/>
    <col min="8" max="8" width="15.26953125" customWidth="1"/>
    <col min="9" max="9" width="5.26953125" customWidth="1"/>
    <col min="10" max="10" width="6.81640625" customWidth="1"/>
    <col min="12" max="12" width="16.1796875" customWidth="1"/>
    <col min="13" max="13" width="15.1796875" customWidth="1"/>
    <col min="14" max="15" width="16.54296875" bestFit="1" customWidth="1"/>
    <col min="16" max="16" width="22.26953125" customWidth="1"/>
    <col min="17" max="21" width="16.54296875" bestFit="1" customWidth="1"/>
  </cols>
  <sheetData>
    <row r="2" spans="2:27" ht="13" x14ac:dyDescent="0.3">
      <c r="B2" s="100" t="s">
        <v>219</v>
      </c>
      <c r="C2" s="100"/>
      <c r="D2" s="100"/>
      <c r="E2" s="100"/>
      <c r="F2" s="100"/>
      <c r="G2" s="100"/>
      <c r="H2" s="100"/>
    </row>
    <row r="3" spans="2:27" ht="13" x14ac:dyDescent="0.3">
      <c r="B3" s="100" t="s">
        <v>220</v>
      </c>
      <c r="C3" s="100"/>
      <c r="D3" s="100"/>
      <c r="E3" s="100"/>
      <c r="F3" s="100"/>
      <c r="G3" s="100"/>
      <c r="H3" s="100"/>
    </row>
    <row r="4" spans="2:27" ht="13" x14ac:dyDescent="0.3">
      <c r="B4" s="35"/>
      <c r="L4" s="35"/>
      <c r="M4" s="35"/>
      <c r="N4" s="35"/>
      <c r="O4" s="35"/>
      <c r="P4" s="155" t="s">
        <v>113</v>
      </c>
      <c r="Q4" s="35"/>
      <c r="R4" s="35"/>
      <c r="S4" s="35"/>
      <c r="T4" s="35"/>
      <c r="U4" s="35"/>
      <c r="V4" s="35"/>
      <c r="W4" s="35"/>
      <c r="X4" s="35"/>
      <c r="Y4" s="35"/>
      <c r="Z4" s="35"/>
      <c r="AA4" s="35"/>
    </row>
    <row r="5" spans="2:27" x14ac:dyDescent="0.25">
      <c r="L5" s="35"/>
      <c r="M5" s="35"/>
      <c r="N5" s="35"/>
      <c r="O5" s="35"/>
      <c r="P5" s="216" t="s">
        <v>87</v>
      </c>
      <c r="Q5" s="217">
        <f>H23</f>
        <v>79766310</v>
      </c>
      <c r="R5" s="35"/>
      <c r="S5" s="35"/>
      <c r="T5" s="35"/>
      <c r="U5" s="35"/>
      <c r="V5" s="35"/>
      <c r="W5" s="35"/>
      <c r="X5" s="35"/>
      <c r="Y5" s="35"/>
      <c r="Z5" s="35"/>
      <c r="AA5" s="35"/>
    </row>
    <row r="6" spans="2:27" ht="13" x14ac:dyDescent="0.3">
      <c r="B6" s="300" t="s">
        <v>154</v>
      </c>
      <c r="C6" t="s">
        <v>228</v>
      </c>
      <c r="L6" s="218" t="s">
        <v>90</v>
      </c>
      <c r="M6" s="35"/>
      <c r="N6" s="35"/>
      <c r="O6" s="35"/>
      <c r="P6" s="219" t="s">
        <v>222</v>
      </c>
      <c r="Q6" s="217">
        <f>H30</f>
        <v>76307689.5</v>
      </c>
      <c r="R6" s="35"/>
      <c r="S6" s="35"/>
      <c r="T6" s="35"/>
      <c r="U6" s="35"/>
      <c r="V6" s="35"/>
      <c r="W6" s="35"/>
      <c r="X6" s="35"/>
      <c r="Y6" s="35"/>
      <c r="Z6" s="35"/>
      <c r="AA6" s="35"/>
    </row>
    <row r="7" spans="2:27" x14ac:dyDescent="0.25">
      <c r="L7" s="35"/>
      <c r="M7" s="35"/>
      <c r="N7" s="35"/>
      <c r="O7" s="35"/>
      <c r="P7" s="220" t="s">
        <v>221</v>
      </c>
      <c r="Q7" s="217">
        <f>Q5-Q6</f>
        <v>3458620.5</v>
      </c>
      <c r="R7" s="35"/>
      <c r="S7" s="35"/>
      <c r="T7" s="35"/>
      <c r="U7" s="35"/>
      <c r="V7" s="35"/>
      <c r="W7" s="35"/>
      <c r="X7" s="35"/>
      <c r="Y7" s="35"/>
      <c r="Z7" s="35"/>
      <c r="AA7" s="35"/>
    </row>
    <row r="8" spans="2:27" x14ac:dyDescent="0.25">
      <c r="B8" s="300" t="s">
        <v>229</v>
      </c>
      <c r="C8" s="300" t="s">
        <v>225</v>
      </c>
      <c r="L8" s="35"/>
      <c r="M8" s="35"/>
      <c r="N8" s="35"/>
      <c r="O8" s="35"/>
      <c r="P8" s="35"/>
      <c r="Q8" s="35"/>
      <c r="R8" s="35"/>
      <c r="S8" s="35"/>
      <c r="T8" s="35"/>
      <c r="U8" s="35"/>
      <c r="V8" s="35"/>
      <c r="W8" s="35"/>
      <c r="X8" s="35"/>
      <c r="Y8" s="35"/>
      <c r="Z8" s="35"/>
      <c r="AA8" s="35"/>
    </row>
    <row r="9" spans="2:27" x14ac:dyDescent="0.25">
      <c r="B9" s="300" t="s">
        <v>227</v>
      </c>
      <c r="C9" t="s">
        <v>2</v>
      </c>
      <c r="D9" t="s">
        <v>5</v>
      </c>
      <c r="E9" t="s">
        <v>3</v>
      </c>
      <c r="F9" t="s">
        <v>4</v>
      </c>
      <c r="G9" t="s">
        <v>226</v>
      </c>
      <c r="L9" s="35"/>
      <c r="M9" s="35"/>
      <c r="N9" s="35"/>
      <c r="O9" s="35"/>
      <c r="P9" s="35"/>
      <c r="Q9" s="35"/>
      <c r="R9" s="35"/>
      <c r="S9" s="35"/>
      <c r="T9" s="35"/>
      <c r="U9" s="35"/>
      <c r="V9" s="35"/>
      <c r="W9" s="35"/>
      <c r="X9" s="35"/>
      <c r="Y9" s="35"/>
      <c r="Z9" s="35"/>
      <c r="AA9" s="35"/>
    </row>
    <row r="10" spans="2:27" ht="13" x14ac:dyDescent="0.3">
      <c r="B10" s="37" t="s">
        <v>38</v>
      </c>
      <c r="C10">
        <v>290000</v>
      </c>
      <c r="D10">
        <v>122000</v>
      </c>
      <c r="E10">
        <v>260000</v>
      </c>
      <c r="F10">
        <v>205000</v>
      </c>
      <c r="G10">
        <v>877000</v>
      </c>
      <c r="L10" s="35"/>
      <c r="M10" s="348" t="s">
        <v>87</v>
      </c>
      <c r="N10" s="348"/>
      <c r="O10" s="348"/>
      <c r="P10" s="348"/>
      <c r="Q10" s="348"/>
      <c r="R10" s="348"/>
      <c r="S10" s="348"/>
      <c r="T10" s="348"/>
      <c r="U10" s="348"/>
      <c r="V10" s="35"/>
      <c r="W10" s="35"/>
      <c r="X10" s="35"/>
      <c r="Y10" s="35"/>
      <c r="Z10" s="35"/>
      <c r="AA10" s="35"/>
    </row>
    <row r="11" spans="2:27" ht="12.75" customHeight="1" x14ac:dyDescent="0.25">
      <c r="B11" s="37" t="s">
        <v>86</v>
      </c>
      <c r="C11">
        <v>22567945</v>
      </c>
      <c r="D11">
        <v>11327635</v>
      </c>
      <c r="E11">
        <v>14987010</v>
      </c>
      <c r="F11">
        <v>12005535</v>
      </c>
      <c r="G11">
        <v>60888125</v>
      </c>
      <c r="L11" s="35"/>
      <c r="M11" s="221">
        <v>-0.06</v>
      </c>
      <c r="N11" s="221">
        <v>-0.05</v>
      </c>
      <c r="O11" s="221">
        <v>-0.04</v>
      </c>
      <c r="P11" s="221">
        <v>-0.03</v>
      </c>
      <c r="Q11" s="221">
        <v>-0.02</v>
      </c>
      <c r="R11" s="221">
        <v>0</v>
      </c>
      <c r="S11" s="221">
        <v>0.02</v>
      </c>
      <c r="T11" s="221">
        <v>0.03</v>
      </c>
      <c r="U11" s="221">
        <v>0.04</v>
      </c>
      <c r="V11" s="35"/>
      <c r="W11" s="35"/>
      <c r="X11" s="35"/>
      <c r="Y11" s="35"/>
      <c r="Z11" s="35"/>
      <c r="AA11" s="35"/>
    </row>
    <row r="12" spans="2:27" ht="13" x14ac:dyDescent="0.3">
      <c r="B12" s="37" t="s">
        <v>37</v>
      </c>
      <c r="C12">
        <v>900000</v>
      </c>
      <c r="D12">
        <v>345000</v>
      </c>
      <c r="E12">
        <v>855000</v>
      </c>
      <c r="F12">
        <v>390000</v>
      </c>
      <c r="G12">
        <v>2490000</v>
      </c>
      <c r="L12" s="232">
        <f>Q7</f>
        <v>3458620.5</v>
      </c>
      <c r="M12" s="222">
        <f>$R$12*(1+M11)</f>
        <v>74980331.399999991</v>
      </c>
      <c r="N12" s="222">
        <f>$R$12*(1+N11)</f>
        <v>75777994.5</v>
      </c>
      <c r="O12" s="222">
        <f>$R$12*(1+O11)</f>
        <v>76575657.599999994</v>
      </c>
      <c r="P12" s="222">
        <f>$R$12*(1+P11)</f>
        <v>77373320.700000003</v>
      </c>
      <c r="Q12" s="222">
        <f>$R$12*(1+Q11)</f>
        <v>78170983.799999997</v>
      </c>
      <c r="R12" s="223">
        <f>$H$23</f>
        <v>79766310</v>
      </c>
      <c r="S12" s="222">
        <f>$R$12*(1+S11)</f>
        <v>81361636.200000003</v>
      </c>
      <c r="T12" s="222">
        <f>$R$12*(1+T11)</f>
        <v>82159299.299999997</v>
      </c>
      <c r="U12" s="222">
        <f>$R$12*(1+U11)</f>
        <v>82956962.400000006</v>
      </c>
      <c r="V12" s="35"/>
      <c r="W12" s="35"/>
      <c r="X12" s="35"/>
      <c r="Y12" s="35"/>
      <c r="Z12" s="35"/>
      <c r="AA12" s="35"/>
    </row>
    <row r="13" spans="2:27" ht="13" x14ac:dyDescent="0.3">
      <c r="B13" s="37" t="s">
        <v>167</v>
      </c>
      <c r="C13">
        <v>2289000</v>
      </c>
      <c r="D13">
        <v>1080000</v>
      </c>
      <c r="E13">
        <v>2108000</v>
      </c>
      <c r="F13">
        <v>1261000</v>
      </c>
      <c r="G13">
        <v>6738000</v>
      </c>
      <c r="J13" s="349" t="s">
        <v>102</v>
      </c>
      <c r="K13" s="66">
        <v>-0.05</v>
      </c>
      <c r="L13" s="224">
        <f>$L$18*(1+K13)</f>
        <v>72492305.024999991</v>
      </c>
      <c r="M13" s="233">
        <f t="dataTable" ref="M13:U30" dt2D="1" dtr="1" r1="Q5" r2="Q6"/>
        <v>2488026.375</v>
      </c>
      <c r="N13" s="233">
        <v>3285689.4750000089</v>
      </c>
      <c r="O13" s="233">
        <v>4083352.575000003</v>
      </c>
      <c r="P13" s="233">
        <v>4881015.6750000119</v>
      </c>
      <c r="Q13" s="233">
        <v>5678678.775000006</v>
      </c>
      <c r="R13" s="233">
        <v>7274004.9750000089</v>
      </c>
      <c r="S13" s="233">
        <v>8869331.1750000119</v>
      </c>
      <c r="T13" s="233">
        <v>9666994.275000006</v>
      </c>
      <c r="U13" s="233">
        <v>10464657.375000015</v>
      </c>
      <c r="W13" s="35"/>
      <c r="X13" s="35"/>
      <c r="Y13" s="35"/>
      <c r="Z13" s="35"/>
      <c r="AA13" s="35"/>
    </row>
    <row r="14" spans="2:27" ht="13" x14ac:dyDescent="0.3">
      <c r="B14" s="37" t="s">
        <v>168</v>
      </c>
      <c r="C14">
        <v>29614750</v>
      </c>
      <c r="D14">
        <v>14861750</v>
      </c>
      <c r="E14">
        <v>19593790</v>
      </c>
      <c r="F14">
        <v>15696020</v>
      </c>
      <c r="G14">
        <v>79766310</v>
      </c>
      <c r="J14" s="349"/>
      <c r="K14" s="66">
        <v>-0.04</v>
      </c>
      <c r="L14" s="224">
        <f>$L$18*(1+K14)</f>
        <v>73255381.920000002</v>
      </c>
      <c r="M14" s="233">
        <v>1724949.4799999893</v>
      </c>
      <c r="N14" s="233">
        <v>2522612.5799999982</v>
      </c>
      <c r="O14" s="233">
        <v>3320275.6799999923</v>
      </c>
      <c r="P14" s="233">
        <v>4117938.7800000012</v>
      </c>
      <c r="Q14" s="233">
        <v>4915601.8799999952</v>
      </c>
      <c r="R14" s="233">
        <v>6510928.0799999982</v>
      </c>
      <c r="S14" s="233">
        <v>8106254.2800000012</v>
      </c>
      <c r="T14" s="233">
        <v>8903917.3799999952</v>
      </c>
      <c r="U14" s="233">
        <v>9701580.4800000042</v>
      </c>
      <c r="W14" s="35"/>
      <c r="X14" s="35"/>
      <c r="Y14" s="35"/>
      <c r="Z14" s="35"/>
      <c r="AA14" s="35"/>
    </row>
    <row r="15" spans="2:27" ht="13" x14ac:dyDescent="0.3">
      <c r="B15" s="37" t="s">
        <v>39</v>
      </c>
      <c r="C15">
        <v>2186893.8000000003</v>
      </c>
      <c r="D15">
        <v>709430.40000000014</v>
      </c>
      <c r="E15">
        <v>1331920.8</v>
      </c>
      <c r="F15">
        <v>1086319.5</v>
      </c>
      <c r="G15">
        <v>5314564.5</v>
      </c>
      <c r="J15" s="349"/>
      <c r="K15" s="66">
        <v>-0.03</v>
      </c>
      <c r="L15" s="224">
        <f>$L$18*(1+K15)</f>
        <v>74018458.814999998</v>
      </c>
      <c r="M15" s="233">
        <v>961872.58499999344</v>
      </c>
      <c r="N15" s="233">
        <v>1759535.6850000024</v>
      </c>
      <c r="O15" s="233">
        <v>2557198.7849999964</v>
      </c>
      <c r="P15" s="233">
        <v>3354861.8850000054</v>
      </c>
      <c r="Q15" s="233">
        <v>4152524.9849999994</v>
      </c>
      <c r="R15" s="233">
        <v>5747851.1850000024</v>
      </c>
      <c r="S15" s="233">
        <v>7343177.3850000054</v>
      </c>
      <c r="T15" s="233">
        <v>8140840.4849999994</v>
      </c>
      <c r="U15" s="233">
        <v>8938503.5850000083</v>
      </c>
      <c r="W15" s="35"/>
      <c r="X15" s="35"/>
      <c r="Y15" s="35"/>
      <c r="Z15" s="35"/>
      <c r="AA15" s="35"/>
    </row>
    <row r="16" spans="2:27" ht="13" x14ac:dyDescent="0.3">
      <c r="B16" s="37" t="s">
        <v>226</v>
      </c>
      <c r="C16">
        <v>57848588.799999997</v>
      </c>
      <c r="D16">
        <v>28445815.399999999</v>
      </c>
      <c r="E16">
        <v>39135720.799999997</v>
      </c>
      <c r="F16">
        <v>30643874.5</v>
      </c>
      <c r="G16">
        <v>156073999.5</v>
      </c>
      <c r="J16" s="349"/>
      <c r="K16" s="66">
        <v>-0.02</v>
      </c>
      <c r="L16" s="224">
        <f>$L$18*(1+K16)</f>
        <v>74781535.709999993</v>
      </c>
      <c r="M16" s="233">
        <v>198795.68999999762</v>
      </c>
      <c r="N16" s="233">
        <v>996458.79000000656</v>
      </c>
      <c r="O16" s="233">
        <v>1794121.8900000006</v>
      </c>
      <c r="P16" s="233">
        <v>2591784.9900000095</v>
      </c>
      <c r="Q16" s="233">
        <v>3389448.0900000036</v>
      </c>
      <c r="R16" s="233">
        <v>4984774.2900000066</v>
      </c>
      <c r="S16" s="233">
        <v>6580100.4900000095</v>
      </c>
      <c r="T16" s="233">
        <v>7377763.5900000036</v>
      </c>
      <c r="U16" s="233">
        <v>8175426.6900000125</v>
      </c>
      <c r="W16" s="35"/>
      <c r="X16" s="35"/>
      <c r="Y16" s="35"/>
      <c r="Z16" s="35"/>
      <c r="AA16" s="35"/>
    </row>
    <row r="17" spans="2:27" ht="13" x14ac:dyDescent="0.3">
      <c r="J17" s="349"/>
      <c r="K17" s="66">
        <v>-0.01</v>
      </c>
      <c r="L17" s="224">
        <f>$L$18*(1+K17)</f>
        <v>75544612.605000004</v>
      </c>
      <c r="M17" s="233">
        <v>-564281.20500001311</v>
      </c>
      <c r="N17" s="233">
        <v>233381.89499999583</v>
      </c>
      <c r="O17" s="233">
        <v>1031044.9949999899</v>
      </c>
      <c r="P17" s="233">
        <v>1828708.0949999988</v>
      </c>
      <c r="Q17" s="233">
        <v>2626371.1949999928</v>
      </c>
      <c r="R17" s="233">
        <v>4221697.3949999958</v>
      </c>
      <c r="S17" s="233">
        <v>5817023.5949999988</v>
      </c>
      <c r="T17" s="233">
        <v>6614686.6949999928</v>
      </c>
      <c r="U17" s="233">
        <v>7412349.7950000018</v>
      </c>
      <c r="W17" s="35"/>
      <c r="X17" s="35"/>
      <c r="Y17" s="35"/>
      <c r="Z17" s="35"/>
      <c r="AA17" s="35"/>
    </row>
    <row r="18" spans="2:27" ht="13" x14ac:dyDescent="0.3">
      <c r="J18" s="349"/>
      <c r="K18" s="66">
        <v>0</v>
      </c>
      <c r="L18" s="225">
        <f>$H$30</f>
        <v>76307689.5</v>
      </c>
      <c r="M18" s="233">
        <v>-1327358.1000000089</v>
      </c>
      <c r="N18" s="233">
        <v>-529695</v>
      </c>
      <c r="O18" s="233">
        <v>267968.09999999404</v>
      </c>
      <c r="P18" s="233">
        <v>1065631.200000003</v>
      </c>
      <c r="Q18" s="233">
        <v>1863294.299999997</v>
      </c>
      <c r="R18" s="233">
        <v>3458620.5</v>
      </c>
      <c r="S18" s="233">
        <v>5053946.700000003</v>
      </c>
      <c r="T18" s="233">
        <v>5851609.799999997</v>
      </c>
      <c r="U18" s="233">
        <v>6649272.900000006</v>
      </c>
      <c r="W18" s="35"/>
      <c r="X18" s="35"/>
      <c r="Y18" s="35"/>
      <c r="Z18" s="35"/>
      <c r="AA18" s="35"/>
    </row>
    <row r="19" spans="2:27" ht="13.5" thickBot="1" x14ac:dyDescent="0.35">
      <c r="J19" s="349"/>
      <c r="K19" s="66">
        <v>0.01</v>
      </c>
      <c r="L19" s="224">
        <f t="shared" ref="L19:L30" si="0">$L$18*(1+K19)</f>
        <v>77070766.394999996</v>
      </c>
      <c r="M19" s="233">
        <v>-2090434.9950000048</v>
      </c>
      <c r="N19" s="233">
        <v>-1292771.8949999958</v>
      </c>
      <c r="O19" s="233">
        <v>-495108.79500000179</v>
      </c>
      <c r="P19" s="233">
        <v>302554.30500000715</v>
      </c>
      <c r="Q19" s="233">
        <v>1100217.4050000012</v>
      </c>
      <c r="R19" s="233">
        <v>2695543.6050000042</v>
      </c>
      <c r="S19" s="233">
        <v>4290869.8050000072</v>
      </c>
      <c r="T19" s="233">
        <v>5088532.9050000012</v>
      </c>
      <c r="U19" s="233">
        <v>5886196.0050000101</v>
      </c>
      <c r="W19" s="35"/>
      <c r="X19" s="35"/>
      <c r="Y19" s="35"/>
      <c r="Z19" s="35"/>
      <c r="AA19" s="35"/>
    </row>
    <row r="20" spans="2:27" ht="13" x14ac:dyDescent="0.3">
      <c r="B20" s="356" t="s">
        <v>89</v>
      </c>
      <c r="C20" s="357"/>
      <c r="D20" s="201" t="s">
        <v>10</v>
      </c>
      <c r="E20" s="350" t="str">
        <f>C6</f>
        <v>(All)</v>
      </c>
      <c r="F20" s="351"/>
      <c r="G20" s="351"/>
      <c r="H20" s="352"/>
      <c r="J20" s="349"/>
      <c r="K20" s="66">
        <v>0.02</v>
      </c>
      <c r="L20" s="224">
        <f t="shared" si="0"/>
        <v>77833843.290000007</v>
      </c>
      <c r="M20" s="233">
        <v>-2853511.8900000155</v>
      </c>
      <c r="N20" s="233">
        <v>-2055848.7900000066</v>
      </c>
      <c r="O20" s="233">
        <v>-1258185.6900000125</v>
      </c>
      <c r="P20" s="233">
        <v>-460522.59000000358</v>
      </c>
      <c r="Q20" s="233">
        <v>337140.50999999046</v>
      </c>
      <c r="R20" s="233">
        <v>1932466.7099999934</v>
      </c>
      <c r="S20" s="233">
        <v>3527792.9099999964</v>
      </c>
      <c r="T20" s="233">
        <v>4325456.0099999905</v>
      </c>
      <c r="U20" s="233">
        <v>5123119.1099999994</v>
      </c>
      <c r="W20" s="35"/>
      <c r="X20" s="35"/>
      <c r="Y20" s="35"/>
      <c r="Z20" s="35"/>
      <c r="AA20" s="35"/>
    </row>
    <row r="21" spans="2:27" ht="13" x14ac:dyDescent="0.3">
      <c r="B21" s="202"/>
      <c r="C21" s="203"/>
      <c r="D21" s="353" t="s">
        <v>28</v>
      </c>
      <c r="E21" s="354"/>
      <c r="F21" s="354"/>
      <c r="G21" s="354"/>
      <c r="H21" s="355"/>
      <c r="J21" s="349"/>
      <c r="K21" s="66">
        <v>0.03</v>
      </c>
      <c r="L21" s="224">
        <f t="shared" si="0"/>
        <v>78596920.185000002</v>
      </c>
      <c r="M21" s="233">
        <v>-3616588.7850000113</v>
      </c>
      <c r="N21" s="233">
        <v>-2818925.6850000024</v>
      </c>
      <c r="O21" s="233">
        <v>-2021262.5850000083</v>
      </c>
      <c r="P21" s="233">
        <v>-1223599.4849999994</v>
      </c>
      <c r="Q21" s="233">
        <v>-425936.38500000536</v>
      </c>
      <c r="R21" s="233">
        <v>1169389.8149999976</v>
      </c>
      <c r="S21" s="233">
        <v>2764716.0150000006</v>
      </c>
      <c r="T21" s="233">
        <v>3562379.1149999946</v>
      </c>
      <c r="U21" s="233">
        <v>4360042.2150000036</v>
      </c>
      <c r="W21" s="35"/>
      <c r="X21" s="35"/>
      <c r="Y21" s="35"/>
      <c r="Z21" s="35"/>
      <c r="AA21" s="35"/>
    </row>
    <row r="22" spans="2:27" ht="13" x14ac:dyDescent="0.3">
      <c r="B22" s="202"/>
      <c r="C22" s="203"/>
      <c r="D22" s="204" t="str">
        <f>'Income Statement'!E77</f>
        <v>Brisbane</v>
      </c>
      <c r="E22" s="204" t="str">
        <f>'Income Statement'!F77</f>
        <v>Cairns</v>
      </c>
      <c r="F22" s="204" t="str">
        <f>'Income Statement'!G77</f>
        <v>Gold Coast</v>
      </c>
      <c r="G22" s="204" t="str">
        <f>'Income Statement'!H77</f>
        <v>Townsville</v>
      </c>
      <c r="H22" s="205" t="s">
        <v>26</v>
      </c>
      <c r="J22" s="349"/>
      <c r="K22" s="66">
        <v>0.04</v>
      </c>
      <c r="L22" s="224">
        <f t="shared" si="0"/>
        <v>79359997.079999998</v>
      </c>
      <c r="M22" s="233">
        <v>-4379665.6800000072</v>
      </c>
      <c r="N22" s="233">
        <v>-3582002.5799999982</v>
      </c>
      <c r="O22" s="233">
        <v>-2784339.4800000042</v>
      </c>
      <c r="P22" s="233">
        <v>-1986676.3799999952</v>
      </c>
      <c r="Q22" s="233">
        <v>-1189013.2800000012</v>
      </c>
      <c r="R22" s="233">
        <v>406312.92000000179</v>
      </c>
      <c r="S22" s="233">
        <v>2001639.1200000048</v>
      </c>
      <c r="T22" s="233">
        <v>2799302.2199999988</v>
      </c>
      <c r="U22" s="233">
        <v>3596965.3200000077</v>
      </c>
      <c r="W22" s="35"/>
      <c r="X22" s="35"/>
      <c r="Y22" s="35"/>
      <c r="Z22" s="35"/>
      <c r="AA22" s="35"/>
    </row>
    <row r="23" spans="2:27" ht="13" x14ac:dyDescent="0.3">
      <c r="B23" s="206" t="s">
        <v>41</v>
      </c>
      <c r="C23" s="203"/>
      <c r="D23" s="207">
        <f>GETPIVOTDATA("AMOUNT",$B$8,"LOCATION","Brisbane","FIN TYPE","REVENUE")</f>
        <v>29614750</v>
      </c>
      <c r="E23" s="207">
        <f>GETPIVOTDATA("AMOUNT",$B$8,"LOCATION","Cairns","FIN TYPE","REVENUE")</f>
        <v>14861750</v>
      </c>
      <c r="F23" s="207">
        <f>GETPIVOTDATA("AMOUNT",$B$8,"LOCATION","Gold Coast","FIN TYPE","REVENUE")</f>
        <v>19593790</v>
      </c>
      <c r="G23" s="208">
        <f>GETPIVOTDATA("AMOUNT",$B$8,"LOCATION","Townsville","FIN TYPE","REVENUE")</f>
        <v>15696020</v>
      </c>
      <c r="H23" s="209">
        <f>SUM(D23:G23)</f>
        <v>79766310</v>
      </c>
      <c r="J23" s="349"/>
      <c r="K23" s="66">
        <v>0.05</v>
      </c>
      <c r="L23" s="224">
        <f t="shared" si="0"/>
        <v>80123073.975000009</v>
      </c>
      <c r="M23" s="233">
        <v>-5142742.5750000179</v>
      </c>
      <c r="N23" s="233">
        <v>-4345079.4750000089</v>
      </c>
      <c r="O23" s="233">
        <v>-3547416.3750000149</v>
      </c>
      <c r="P23" s="233">
        <v>-2749753.275000006</v>
      </c>
      <c r="Q23" s="233">
        <v>-1952090.1750000119</v>
      </c>
      <c r="R23" s="233">
        <v>-356763.97500000894</v>
      </c>
      <c r="S23" s="233">
        <v>1238562.224999994</v>
      </c>
      <c r="T23" s="233">
        <v>2036225.3249999881</v>
      </c>
      <c r="U23" s="233">
        <v>2833888.424999997</v>
      </c>
      <c r="W23" s="35"/>
      <c r="X23" s="35"/>
      <c r="Y23" s="35"/>
      <c r="Z23" s="35"/>
      <c r="AA23" s="35"/>
    </row>
    <row r="24" spans="2:27" ht="13" x14ac:dyDescent="0.3">
      <c r="B24" s="202"/>
      <c r="C24" s="203"/>
      <c r="D24" s="207"/>
      <c r="E24" s="207"/>
      <c r="F24" s="207"/>
      <c r="G24" s="208"/>
      <c r="H24" s="208"/>
      <c r="J24" s="349"/>
      <c r="K24" s="66">
        <v>0.06</v>
      </c>
      <c r="L24" s="224">
        <f t="shared" si="0"/>
        <v>80886150.870000005</v>
      </c>
      <c r="M24" s="233">
        <v>-5905819.4700000137</v>
      </c>
      <c r="N24" s="233">
        <v>-5108156.3700000048</v>
      </c>
      <c r="O24" s="233">
        <v>-4310493.2700000107</v>
      </c>
      <c r="P24" s="233">
        <v>-3512830.1700000018</v>
      </c>
      <c r="Q24" s="233">
        <v>-2715167.0700000077</v>
      </c>
      <c r="R24" s="233">
        <v>-1119840.8700000048</v>
      </c>
      <c r="S24" s="233">
        <v>475485.32999999821</v>
      </c>
      <c r="T24" s="233">
        <v>1273148.4299999923</v>
      </c>
      <c r="U24" s="233">
        <v>2070811.5300000012</v>
      </c>
      <c r="W24" s="35"/>
      <c r="X24" s="35"/>
      <c r="Y24" s="35"/>
      <c r="Z24" s="35"/>
      <c r="AA24" s="35"/>
    </row>
    <row r="25" spans="2:27" ht="13" x14ac:dyDescent="0.3">
      <c r="B25" s="206" t="s">
        <v>102</v>
      </c>
      <c r="C25" s="203" t="s">
        <v>86</v>
      </c>
      <c r="D25" s="207">
        <f>GETPIVOTDATA("AMOUNT",$B$8,"LOCATION","Brisbane","FIN TYPE","COGS")</f>
        <v>22567945</v>
      </c>
      <c r="E25" s="207">
        <f>GETPIVOTDATA("AMOUNT",$B$8,"LOCATION","Cairns","FIN TYPE","COGS")</f>
        <v>11327635</v>
      </c>
      <c r="F25" s="207">
        <f>GETPIVOTDATA("AMOUNT",$B$8,"LOCATION","Gold Coast","FIN TYPE","COGS")</f>
        <v>14987010</v>
      </c>
      <c r="G25" s="208">
        <f>GETPIVOTDATA("AMOUNT",$B$8,"LOCATION","Townsville","FIN TYPE","COGS")</f>
        <v>12005535</v>
      </c>
      <c r="H25" s="208">
        <f>SUM(D25:G25)</f>
        <v>60888125</v>
      </c>
      <c r="J25" s="349"/>
      <c r="K25" s="66">
        <v>7.0000000000000007E-2</v>
      </c>
      <c r="L25" s="224">
        <f t="shared" si="0"/>
        <v>81649227.765000001</v>
      </c>
      <c r="M25" s="233">
        <v>-6668896.3650000095</v>
      </c>
      <c r="N25" s="233">
        <v>-5871233.2650000006</v>
      </c>
      <c r="O25" s="233">
        <v>-5073570.1650000066</v>
      </c>
      <c r="P25" s="233">
        <v>-4275907.0649999976</v>
      </c>
      <c r="Q25" s="233">
        <v>-3478243.9650000036</v>
      </c>
      <c r="R25" s="233">
        <v>-1882917.7650000006</v>
      </c>
      <c r="S25" s="233">
        <v>-287591.56499999762</v>
      </c>
      <c r="T25" s="233">
        <v>510071.53499999642</v>
      </c>
      <c r="U25" s="233">
        <v>1307734.6350000054</v>
      </c>
      <c r="W25" s="35"/>
      <c r="X25" s="35"/>
      <c r="Y25" s="35"/>
      <c r="Z25" s="35"/>
      <c r="AA25" s="35"/>
    </row>
    <row r="26" spans="2:27" ht="13" x14ac:dyDescent="0.3">
      <c r="B26" s="202" t="s">
        <v>20</v>
      </c>
      <c r="C26" s="203" t="s">
        <v>196</v>
      </c>
      <c r="D26" s="210">
        <f>GETPIVOTDATA("AMOUNT",$B$8,"LOCATION","Brisbane","FIN TYPE","LABOUR")</f>
        <v>2289000</v>
      </c>
      <c r="E26" s="210">
        <f>GETPIVOTDATA("AMOUNT",$B$8,"LOCATION","Cairns","FIN TYPE","LABOUR")</f>
        <v>1080000</v>
      </c>
      <c r="F26" s="210">
        <f>GETPIVOTDATA("AMOUNT",$B$8,"LOCATION","Gold Coast","FIN TYPE","LABOUR")</f>
        <v>2108000</v>
      </c>
      <c r="G26" s="208">
        <f>GETPIVOTDATA("AMOUNT",$B$8,"LOCATION","Townsville","FIN TYPE","LABOUR")</f>
        <v>1261000</v>
      </c>
      <c r="H26" s="208">
        <f t="shared" ref="H26:H29" si="1">SUM(D26:G26)</f>
        <v>6738000</v>
      </c>
      <c r="J26" s="349"/>
      <c r="K26" s="66">
        <v>0.08</v>
      </c>
      <c r="L26" s="224">
        <f t="shared" si="0"/>
        <v>82412304.660000011</v>
      </c>
      <c r="M26" s="233">
        <v>-7431973.2600000203</v>
      </c>
      <c r="N26" s="233">
        <v>-6634310.1600000113</v>
      </c>
      <c r="O26" s="233">
        <v>-5836647.0600000173</v>
      </c>
      <c r="P26" s="233">
        <v>-5038983.9600000083</v>
      </c>
      <c r="Q26" s="233">
        <v>-4241320.8600000143</v>
      </c>
      <c r="R26" s="233">
        <v>-2645994.6600000113</v>
      </c>
      <c r="S26" s="233">
        <v>-1050668.4600000083</v>
      </c>
      <c r="T26" s="233">
        <v>-253005.36000001431</v>
      </c>
      <c r="U26" s="233">
        <v>544657.73999999464</v>
      </c>
      <c r="W26" s="35"/>
      <c r="X26" s="35"/>
      <c r="Y26" s="35"/>
      <c r="Z26" s="35"/>
      <c r="AA26" s="35"/>
    </row>
    <row r="27" spans="2:27" ht="13" x14ac:dyDescent="0.3">
      <c r="B27" s="202"/>
      <c r="C27" s="203" t="s">
        <v>37</v>
      </c>
      <c r="D27" s="210">
        <f>GETPIVOTDATA("AMOUNT",$B$8,"LOCATION","Brisbane","FIN TYPE","FAOC")</f>
        <v>900000</v>
      </c>
      <c r="E27" s="210">
        <f>GETPIVOTDATA("AMOUNT",$B$8,"LOCATION","Cairns","FIN TYPE","FAOC")</f>
        <v>345000</v>
      </c>
      <c r="F27" s="210">
        <f>GETPIVOTDATA("AMOUNT",$B$8,"LOCATION","Gold Coast","FIN TYPE","FAOC")</f>
        <v>855000</v>
      </c>
      <c r="G27" s="208">
        <f>GETPIVOTDATA("AMOUNT",$B$8,"LOCATION","Townsville","FIN TYPE","FAOC")</f>
        <v>390000</v>
      </c>
      <c r="H27" s="208">
        <f t="shared" si="1"/>
        <v>2490000</v>
      </c>
      <c r="J27" s="349"/>
      <c r="K27" s="66">
        <v>0.09</v>
      </c>
      <c r="L27" s="224">
        <f t="shared" si="0"/>
        <v>83175381.555000007</v>
      </c>
      <c r="M27" s="233">
        <v>-8195050.1550000161</v>
      </c>
      <c r="N27" s="233">
        <v>-7397387.0550000072</v>
      </c>
      <c r="O27" s="233">
        <v>-6599723.9550000131</v>
      </c>
      <c r="P27" s="233">
        <v>-5802060.8550000042</v>
      </c>
      <c r="Q27" s="233">
        <v>-5004397.7550000101</v>
      </c>
      <c r="R27" s="233">
        <v>-3409071.5550000072</v>
      </c>
      <c r="S27" s="233">
        <v>-1813745.3550000042</v>
      </c>
      <c r="T27" s="233">
        <v>-1016082.2550000101</v>
      </c>
      <c r="U27" s="233">
        <v>-218419.15500000119</v>
      </c>
      <c r="W27" s="35"/>
      <c r="X27" s="35"/>
      <c r="Y27" s="35"/>
      <c r="Z27" s="35"/>
      <c r="AA27" s="35"/>
    </row>
    <row r="28" spans="2:27" ht="13" x14ac:dyDescent="0.3">
      <c r="B28" s="202"/>
      <c r="C28" s="203" t="s">
        <v>38</v>
      </c>
      <c r="D28" s="210">
        <f>GETPIVOTDATA("AMOUNT",$B$8,"LOCATION","Brisbane","FIN TYPE","APC")</f>
        <v>290000</v>
      </c>
      <c r="E28" s="210">
        <f>GETPIVOTDATA("AMOUNT",$B$8,"LOCATION","Cairns","FIN TYPE","APC")</f>
        <v>122000</v>
      </c>
      <c r="F28" s="210">
        <f>GETPIVOTDATA("AMOUNT",$B$8,"LOCATION","Gold Coast","FIN TYPE","APC")</f>
        <v>260000</v>
      </c>
      <c r="G28" s="208">
        <f>GETPIVOTDATA("AMOUNT",$B$8,"LOCATION","Townsville","FIN TYPE","APC")</f>
        <v>205000</v>
      </c>
      <c r="H28" s="208">
        <f t="shared" si="1"/>
        <v>877000</v>
      </c>
      <c r="J28" s="349"/>
      <c r="K28" s="66">
        <v>0.1</v>
      </c>
      <c r="L28" s="224">
        <f t="shared" si="0"/>
        <v>83938458.450000003</v>
      </c>
      <c r="M28" s="233">
        <v>-8958127.0500000119</v>
      </c>
      <c r="N28" s="233">
        <v>-8160463.950000003</v>
      </c>
      <c r="O28" s="233">
        <v>-7362800.8500000089</v>
      </c>
      <c r="P28" s="233">
        <v>-6565137.75</v>
      </c>
      <c r="Q28" s="233">
        <v>-5767474.650000006</v>
      </c>
      <c r="R28" s="233">
        <v>-4172148.450000003</v>
      </c>
      <c r="S28" s="233">
        <v>-2576822.25</v>
      </c>
      <c r="T28" s="233">
        <v>-1779159.150000006</v>
      </c>
      <c r="U28" s="233">
        <v>-981496.04999999702</v>
      </c>
      <c r="W28" s="35"/>
      <c r="X28" s="35"/>
      <c r="Y28" s="35"/>
      <c r="Z28" s="35"/>
      <c r="AA28" s="35"/>
    </row>
    <row r="29" spans="2:27" ht="13" x14ac:dyDescent="0.3">
      <c r="B29" s="202"/>
      <c r="C29" s="203" t="s">
        <v>39</v>
      </c>
      <c r="D29" s="210">
        <f>GETPIVOTDATA("AMOUNT",$B$8,"LOCATION","Brisbane","FIN TYPE","VUAOC")</f>
        <v>2186893.8000000003</v>
      </c>
      <c r="E29" s="210">
        <f>GETPIVOTDATA("AMOUNT",$B$8,"LOCATION","Cairns","FIN TYPE","VUAOC")</f>
        <v>709430.40000000014</v>
      </c>
      <c r="F29" s="210">
        <f>GETPIVOTDATA("AMOUNT",$B$8,"LOCATION","Gold Coast","FIN TYPE","VUAOC")</f>
        <v>1331920.8</v>
      </c>
      <c r="G29" s="208">
        <f>GETPIVOTDATA("AMOUNT",$B$8,"LOCATION","Townsville","FIN TYPE","VUAOC")</f>
        <v>1086319.5</v>
      </c>
      <c r="H29" s="208">
        <f t="shared" si="1"/>
        <v>5314564.5</v>
      </c>
      <c r="J29" s="349"/>
      <c r="K29" s="66">
        <v>0.11</v>
      </c>
      <c r="L29" s="224">
        <f t="shared" si="0"/>
        <v>84701535.345000014</v>
      </c>
      <c r="M29" s="233">
        <v>-9721203.9450000226</v>
      </c>
      <c r="N29" s="233">
        <v>-8923540.8450000137</v>
      </c>
      <c r="O29" s="233">
        <v>-8125877.7450000197</v>
      </c>
      <c r="P29" s="233">
        <v>-7328214.6450000107</v>
      </c>
      <c r="Q29" s="233">
        <v>-6530551.5450000167</v>
      </c>
      <c r="R29" s="233">
        <v>-4935225.3450000137</v>
      </c>
      <c r="S29" s="233">
        <v>-3339899.1450000107</v>
      </c>
      <c r="T29" s="233">
        <v>-2542236.0450000167</v>
      </c>
      <c r="U29" s="233">
        <v>-1744572.9450000077</v>
      </c>
      <c r="W29" s="35"/>
      <c r="X29" s="35"/>
      <c r="Y29" s="35"/>
      <c r="Z29" s="35"/>
      <c r="AA29" s="35"/>
    </row>
    <row r="30" spans="2:27" ht="13" x14ac:dyDescent="0.3">
      <c r="B30" s="202"/>
      <c r="C30" s="203"/>
      <c r="D30" s="207"/>
      <c r="E30" s="207"/>
      <c r="F30" s="207"/>
      <c r="G30" s="208"/>
      <c r="H30" s="226">
        <f>SUM(H25:H29)</f>
        <v>76307689.5</v>
      </c>
      <c r="J30" s="349"/>
      <c r="K30" s="66">
        <v>0.12</v>
      </c>
      <c r="L30" s="224">
        <f t="shared" si="0"/>
        <v>85464612.24000001</v>
      </c>
      <c r="M30" s="233">
        <v>-10484280.840000018</v>
      </c>
      <c r="N30" s="233">
        <v>-9686617.7400000095</v>
      </c>
      <c r="O30" s="233">
        <v>-8888954.6400000155</v>
      </c>
      <c r="P30" s="233">
        <v>-8091291.5400000066</v>
      </c>
      <c r="Q30" s="233">
        <v>-7293628.4400000125</v>
      </c>
      <c r="R30" s="233">
        <v>-5698302.2400000095</v>
      </c>
      <c r="S30" s="233">
        <v>-4102976.0400000066</v>
      </c>
      <c r="T30" s="233">
        <v>-3305312.9400000125</v>
      </c>
      <c r="U30" s="233">
        <v>-2507649.8400000036</v>
      </c>
      <c r="W30" s="35"/>
      <c r="X30" s="35"/>
      <c r="Y30" s="35"/>
      <c r="Z30" s="35"/>
      <c r="AA30" s="35"/>
    </row>
    <row r="31" spans="2:27" ht="13" x14ac:dyDescent="0.3">
      <c r="B31" s="227"/>
      <c r="C31" s="228"/>
      <c r="D31" s="229"/>
      <c r="E31" s="229"/>
      <c r="F31" s="229"/>
      <c r="G31" s="230"/>
      <c r="J31" s="156"/>
      <c r="K31" s="66"/>
      <c r="L31" s="231"/>
      <c r="W31" s="35"/>
      <c r="X31" s="35"/>
      <c r="Y31" s="35"/>
      <c r="Z31" s="35"/>
      <c r="AA31" s="35"/>
    </row>
    <row r="32" spans="2:27" ht="14" thickBot="1" x14ac:dyDescent="0.4">
      <c r="B32" s="211" t="s">
        <v>201</v>
      </c>
      <c r="C32" s="212"/>
      <c r="D32" s="213"/>
      <c r="E32" s="213"/>
      <c r="F32" s="213"/>
      <c r="G32" s="214"/>
      <c r="H32" s="215">
        <f>H23-H30</f>
        <v>3458620.5</v>
      </c>
      <c r="L32" s="35"/>
      <c r="M32" s="30"/>
      <c r="W32" s="35"/>
      <c r="X32" s="35"/>
      <c r="Y32" s="35"/>
      <c r="Z32" s="35"/>
      <c r="AA32" s="35"/>
    </row>
    <row r="33" spans="12:27" x14ac:dyDescent="0.25">
      <c r="L33" s="301"/>
      <c r="M33" s="302"/>
      <c r="N33" s="302"/>
      <c r="O33" s="302"/>
      <c r="P33" s="302"/>
      <c r="Q33" s="302"/>
      <c r="R33" s="302"/>
      <c r="S33" s="302"/>
      <c r="T33" s="302"/>
      <c r="U33" s="302"/>
      <c r="W33" s="35"/>
      <c r="X33" s="35"/>
      <c r="Y33" s="35"/>
      <c r="Z33" s="35"/>
      <c r="AA33" s="35"/>
    </row>
    <row r="34" spans="12:27" x14ac:dyDescent="0.25">
      <c r="U34" s="30"/>
    </row>
  </sheetData>
  <mergeCells count="5">
    <mergeCell ref="M10:U10"/>
    <mergeCell ref="J13:J30"/>
    <mergeCell ref="E20:H20"/>
    <mergeCell ref="D21:H21"/>
    <mergeCell ref="B20:C20"/>
  </mergeCells>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2" tint="-0.499984740745262"/>
  </sheetPr>
  <dimension ref="A1:L28"/>
  <sheetViews>
    <sheetView topLeftCell="A12" workbookViewId="0">
      <selection activeCell="H7" sqref="H7:L9"/>
    </sheetView>
  </sheetViews>
  <sheetFormatPr defaultRowHeight="12.5" x14ac:dyDescent="0.25"/>
  <cols>
    <col min="1" max="2" width="8.7265625" customWidth="1"/>
    <col min="3" max="3" width="18.26953125" bestFit="1" customWidth="1"/>
    <col min="10" max="10" width="10.08984375" customWidth="1"/>
    <col min="11" max="11" width="9.90625" bestFit="1" customWidth="1"/>
    <col min="14" max="14" width="17.26953125" customWidth="1"/>
    <col min="15" max="15" width="16.81640625" customWidth="1"/>
    <col min="16" max="17" width="17.26953125" customWidth="1"/>
  </cols>
  <sheetData>
    <row r="1" spans="1:12" ht="13" x14ac:dyDescent="0.3">
      <c r="A1" s="100" t="s">
        <v>197</v>
      </c>
      <c r="B1" s="100"/>
      <c r="C1" s="100"/>
      <c r="D1" s="100"/>
      <c r="E1" s="100"/>
      <c r="F1" s="100"/>
    </row>
    <row r="2" spans="1:12" ht="13" x14ac:dyDescent="0.3">
      <c r="A2" s="100" t="s">
        <v>198</v>
      </c>
      <c r="B2" s="100"/>
      <c r="C2" s="100"/>
      <c r="D2" s="100"/>
      <c r="E2" s="100"/>
      <c r="F2" s="100"/>
    </row>
    <row r="3" spans="1:12" ht="13" x14ac:dyDescent="0.3">
      <c r="A3" s="155" t="s">
        <v>206</v>
      </c>
    </row>
    <row r="5" spans="1:12" ht="13" x14ac:dyDescent="0.3">
      <c r="A5" s="91" t="s">
        <v>199</v>
      </c>
    </row>
    <row r="7" spans="1:12" ht="14.5" x14ac:dyDescent="0.35">
      <c r="C7" s="303" t="s">
        <v>230</v>
      </c>
      <c r="H7" s="358" t="s">
        <v>204</v>
      </c>
      <c r="I7" s="359"/>
      <c r="J7" s="359"/>
      <c r="K7" s="359"/>
      <c r="L7" s="359"/>
    </row>
    <row r="8" spans="1:12" ht="14.5" x14ac:dyDescent="0.35">
      <c r="C8" s="304">
        <f>SUM('Income Statement'!E49:G49)</f>
        <v>1380911.1999999997</v>
      </c>
      <c r="H8" s="306" t="str">
        <f>'Income Statement'!E77</f>
        <v>Brisbane</v>
      </c>
      <c r="I8" s="306" t="str">
        <f>'Income Statement'!F77</f>
        <v>Cairns</v>
      </c>
      <c r="J8" s="306" t="str">
        <f>'Income Statement'!G77</f>
        <v>Gold Coast</v>
      </c>
      <c r="K8" s="306" t="str">
        <f>'Income Statement'!H77</f>
        <v>Townsville</v>
      </c>
      <c r="L8" s="328" t="s">
        <v>26</v>
      </c>
    </row>
    <row r="9" spans="1:12" ht="14.5" x14ac:dyDescent="0.35">
      <c r="H9" s="305">
        <f>'Income Statement'!E90</f>
        <v>0.38528890888516643</v>
      </c>
      <c r="I9" s="305">
        <f>'Income Statement'!F90</f>
        <v>0.26177444400241257</v>
      </c>
      <c r="J9" s="305">
        <f>'Income Statement'!G90</f>
        <v>0.19835154009501091</v>
      </c>
      <c r="K9" s="305">
        <f>'Income Statement'!H90</f>
        <v>0.1545851070174101</v>
      </c>
      <c r="L9" s="329">
        <f>SUM(H9:K9)</f>
        <v>1</v>
      </c>
    </row>
    <row r="28" spans="2:7" ht="14.5" x14ac:dyDescent="0.25">
      <c r="B28" s="35"/>
      <c r="C28" s="35"/>
      <c r="G28" s="327" t="s">
        <v>234</v>
      </c>
    </row>
  </sheetData>
  <mergeCells count="1">
    <mergeCell ref="H7:L7"/>
  </mergeCells>
  <pageMargins left="0.7" right="0.7" top="0.75" bottom="0.75" header="0.3" footer="0.3"/>
  <pageSetup paperSize="9" orientation="portrait" horizontalDpi="300" verticalDpi="300"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F0000"/>
  </sheetPr>
  <dimension ref="A1:T26"/>
  <sheetViews>
    <sheetView zoomScale="93" zoomScaleNormal="145" workbookViewId="0">
      <selection activeCell="Q16" sqref="Q16"/>
    </sheetView>
  </sheetViews>
  <sheetFormatPr defaultRowHeight="12.5" x14ac:dyDescent="0.25"/>
  <cols>
    <col min="1" max="1" width="12.81640625" style="324" bestFit="1" customWidth="1"/>
    <col min="2" max="2" width="10.453125" style="324" customWidth="1"/>
    <col min="3" max="3" width="8.7265625" style="324"/>
    <col min="4" max="4" width="16.453125" style="324" customWidth="1"/>
    <col min="5" max="5" width="8.453125" style="324" customWidth="1"/>
    <col min="6" max="6" width="4.26953125" style="324" customWidth="1"/>
    <col min="7" max="9" width="8.7265625" style="324"/>
    <col min="10" max="10" width="9.81640625" style="324" customWidth="1"/>
    <col min="11" max="11" width="10.7265625" style="324" customWidth="1"/>
    <col min="12" max="12" width="10.08984375" style="324" customWidth="1"/>
    <col min="13" max="13" width="8.7265625" style="324"/>
    <col min="14" max="14" width="5.1796875" style="324" customWidth="1"/>
    <col min="15" max="15" width="17.7265625" style="324" customWidth="1"/>
    <col min="16" max="16" width="5.7265625" style="324" customWidth="1"/>
    <col min="17" max="17" width="11.7265625" style="324" customWidth="1"/>
    <col min="18" max="18" width="10.7265625" style="324" customWidth="1"/>
    <col min="19" max="19" width="11" style="324" customWidth="1"/>
    <col min="20" max="20" width="11.26953125" style="324" customWidth="1"/>
    <col min="21" max="16384" width="8.7265625" style="324"/>
  </cols>
  <sheetData>
    <row r="1" spans="1:12" ht="17.5" x14ac:dyDescent="0.35">
      <c r="A1" s="360" t="s">
        <v>233</v>
      </c>
      <c r="B1" s="360"/>
      <c r="K1" s="325"/>
      <c r="L1" s="325"/>
    </row>
    <row r="26" spans="17:20" x14ac:dyDescent="0.25">
      <c r="Q26" s="326"/>
      <c r="R26" s="326"/>
      <c r="S26" s="326"/>
      <c r="T26" s="326"/>
    </row>
  </sheetData>
  <mergeCells count="1">
    <mergeCell ref="A1:B1"/>
  </mergeCells>
  <pageMargins left="0.7" right="0.7" top="0.75" bottom="0.75" header="0.3" footer="0.3"/>
  <pageSetup paperSize="9" orientation="portrait" verticalDpi="0" r:id="rId1"/>
  <drawing r:id="rId2"/>
  <extLst>
    <ext xmlns:x14="http://schemas.microsoft.com/office/spreadsheetml/2009/9/main" uri="{A8765BA9-456A-4dab-B4F3-ACF838C121DE}">
      <x14:slicerList>
        <x14:slicer r:id="rId3"/>
      </x14:slicerList>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2" tint="-0.89999084444715716"/>
  </sheetPr>
  <dimension ref="A1:X85"/>
  <sheetViews>
    <sheetView workbookViewId="0">
      <selection activeCell="F1" sqref="F1"/>
    </sheetView>
  </sheetViews>
  <sheetFormatPr defaultRowHeight="12.5" x14ac:dyDescent="0.25"/>
  <cols>
    <col min="2" max="2" width="12.7265625" customWidth="1"/>
    <col min="3" max="4" width="20" customWidth="1"/>
    <col min="5" max="5" width="14.54296875" customWidth="1"/>
    <col min="6" max="6" width="28.453125" customWidth="1"/>
    <col min="7" max="7" width="18.453125" customWidth="1"/>
    <col min="8" max="9" width="19.7265625" customWidth="1"/>
    <col min="10" max="10" width="22.26953125" customWidth="1"/>
  </cols>
  <sheetData>
    <row r="1" spans="1:24" ht="13" x14ac:dyDescent="0.3">
      <c r="A1" s="91" t="s">
        <v>154</v>
      </c>
      <c r="B1" s="91" t="s">
        <v>155</v>
      </c>
      <c r="C1" s="91" t="s">
        <v>170</v>
      </c>
      <c r="D1" s="91" t="s">
        <v>188</v>
      </c>
      <c r="E1" s="91" t="s">
        <v>86</v>
      </c>
      <c r="F1" s="91" t="s">
        <v>190</v>
      </c>
      <c r="G1" s="151" t="s">
        <v>185</v>
      </c>
      <c r="H1" s="151" t="s">
        <v>186</v>
      </c>
      <c r="I1" s="91" t="s">
        <v>192</v>
      </c>
      <c r="J1" s="91" t="s">
        <v>187</v>
      </c>
    </row>
    <row r="2" spans="1:24" ht="15.5" x14ac:dyDescent="0.35">
      <c r="A2">
        <f>'Sales and Revenue'!$L$3</f>
        <v>2019</v>
      </c>
      <c r="B2" t="str">
        <f>'Sales and Revenue'!$C$40</f>
        <v>Brisbane</v>
      </c>
      <c r="C2" t="str">
        <f>'Sales and Revenue'!H5</f>
        <v>Washing Machines</v>
      </c>
      <c r="D2">
        <f>'Sales and Revenue'!L5</f>
        <v>1377750</v>
      </c>
      <c r="E2">
        <f>COGS!L6</f>
        <v>1166495</v>
      </c>
      <c r="F2">
        <f>Product_Profit[[#This Row],[SALES REVENUE]]-Product_Profit[[#This Row],[COGS]]</f>
        <v>211255</v>
      </c>
      <c r="G2">
        <f>'Sales Target &amp; Actual'!C4</f>
        <v>2000</v>
      </c>
      <c r="H2">
        <f>'Sales Target &amp; Actual'!I4</f>
        <v>1837</v>
      </c>
      <c r="I2">
        <f>Product_Profit[[#This Row],[ACTUAL SALES]]-Product_Profit[[#This Row],[SALES TARGET]]</f>
        <v>-163</v>
      </c>
      <c r="J2" s="152">
        <f>Product_Profit[[#This Row],[TARGET ANALYSIS]]/Product_Profit[[#This Row],[SALES TARGET]]</f>
        <v>-8.1500000000000003E-2</v>
      </c>
      <c r="L2" s="101" t="s">
        <v>177</v>
      </c>
    </row>
    <row r="3" spans="1:24" x14ac:dyDescent="0.25">
      <c r="A3">
        <f>'Sales and Revenue'!$L$3</f>
        <v>2019</v>
      </c>
      <c r="B3" t="str">
        <f>'Sales and Revenue'!$C$40</f>
        <v>Brisbane</v>
      </c>
      <c r="C3" t="str">
        <f>'Sales and Revenue'!H6</f>
        <v>Fridges</v>
      </c>
      <c r="D3">
        <f>'Sales and Revenue'!L6</f>
        <v>2208700</v>
      </c>
      <c r="E3">
        <f>COGS!L7</f>
        <v>1868900</v>
      </c>
      <c r="F3">
        <f>Product_Profit[[#This Row],[SALES REVENUE]]-Product_Profit[[#This Row],[COGS]]</f>
        <v>339800</v>
      </c>
      <c r="G3">
        <f>'Sales Target &amp; Actual'!C5</f>
        <v>3000</v>
      </c>
      <c r="H3">
        <f>'Sales Target &amp; Actual'!I5</f>
        <v>3398</v>
      </c>
      <c r="I3">
        <f>Product_Profit[[#This Row],[ACTUAL SALES]]-Product_Profit[[#This Row],[SALES TARGET]]</f>
        <v>398</v>
      </c>
      <c r="J3" s="152">
        <f>Product_Profit[[#This Row],[TARGET ANALYSIS]]/Product_Profit[[#This Row],[SALES TARGET]]</f>
        <v>0.13266666666666665</v>
      </c>
      <c r="L3" s="35" t="s">
        <v>191</v>
      </c>
    </row>
    <row r="4" spans="1:24" x14ac:dyDescent="0.25">
      <c r="A4">
        <f>'Sales and Revenue'!$L$3</f>
        <v>2019</v>
      </c>
      <c r="B4" t="str">
        <f>'Sales and Revenue'!$C$40</f>
        <v>Brisbane</v>
      </c>
      <c r="C4" t="str">
        <f>'Sales and Revenue'!H7</f>
        <v>Computers and Tablets</v>
      </c>
      <c r="D4">
        <f>'Sales and Revenue'!L7</f>
        <v>751400</v>
      </c>
      <c r="E4">
        <f>COGS!L8</f>
        <v>583440</v>
      </c>
      <c r="F4">
        <f>Product_Profit[[#This Row],[SALES REVENUE]]-Product_Profit[[#This Row],[COGS]]</f>
        <v>167960</v>
      </c>
      <c r="G4">
        <f>'Sales Target &amp; Actual'!C6</f>
        <v>800</v>
      </c>
      <c r="H4">
        <f>'Sales Target &amp; Actual'!I6</f>
        <v>884</v>
      </c>
      <c r="I4">
        <f>Product_Profit[[#This Row],[ACTUAL SALES]]-Product_Profit[[#This Row],[SALES TARGET]]</f>
        <v>84</v>
      </c>
      <c r="J4" s="152">
        <f>Product_Profit[[#This Row],[TARGET ANALYSIS]]/Product_Profit[[#This Row],[SALES TARGET]]</f>
        <v>0.105</v>
      </c>
    </row>
    <row r="5" spans="1:24" ht="13" x14ac:dyDescent="0.3">
      <c r="A5">
        <f>'Sales and Revenue'!$L$3</f>
        <v>2019</v>
      </c>
      <c r="B5" t="str">
        <f>'Sales and Revenue'!$C$40</f>
        <v>Brisbane</v>
      </c>
      <c r="C5" t="str">
        <f>'Sales and Revenue'!H8</f>
        <v>Microwaves</v>
      </c>
      <c r="D5">
        <f>'Sales and Revenue'!L8</f>
        <v>994800</v>
      </c>
      <c r="E5">
        <f>COGS!L9</f>
        <v>746100</v>
      </c>
      <c r="F5">
        <f>Product_Profit[[#This Row],[SALES REVENUE]]-Product_Profit[[#This Row],[COGS]]</f>
        <v>248700</v>
      </c>
      <c r="G5">
        <f>'Sales Target &amp; Actual'!C7</f>
        <v>2400</v>
      </c>
      <c r="H5">
        <f>'Sales Target &amp; Actual'!I7</f>
        <v>2487</v>
      </c>
      <c r="I5">
        <f>Product_Profit[[#This Row],[ACTUAL SALES]]-Product_Profit[[#This Row],[SALES TARGET]]</f>
        <v>87</v>
      </c>
      <c r="J5" s="152">
        <f>Product_Profit[[#This Row],[TARGET ANALYSIS]]/Product_Profit[[#This Row],[SALES TARGET]]</f>
        <v>3.6249999999999998E-2</v>
      </c>
      <c r="L5" s="91" t="s">
        <v>176</v>
      </c>
    </row>
    <row r="6" spans="1:24" x14ac:dyDescent="0.25">
      <c r="A6">
        <f>'Sales and Revenue'!$L$3</f>
        <v>2019</v>
      </c>
      <c r="B6" t="str">
        <f>'Sales and Revenue'!$C$40</f>
        <v>Brisbane</v>
      </c>
      <c r="C6" t="str">
        <f>'Sales and Revenue'!H9</f>
        <v>TVs</v>
      </c>
      <c r="D6">
        <f>'Sales and Revenue'!L9</f>
        <v>1198400</v>
      </c>
      <c r="E6">
        <f>COGS!L10</f>
        <v>838880</v>
      </c>
      <c r="F6">
        <f>Product_Profit[[#This Row],[SALES REVENUE]]-Product_Profit[[#This Row],[COGS]]</f>
        <v>359520</v>
      </c>
      <c r="G6">
        <f>'Sales Target &amp; Actual'!C8</f>
        <v>1400</v>
      </c>
      <c r="H6">
        <f>'Sales Target &amp; Actual'!I8</f>
        <v>1712</v>
      </c>
      <c r="I6">
        <f>Product_Profit[[#This Row],[ACTUAL SALES]]-Product_Profit[[#This Row],[SALES TARGET]]</f>
        <v>312</v>
      </c>
      <c r="J6" s="152">
        <f>Product_Profit[[#This Row],[TARGET ANALYSIS]]/Product_Profit[[#This Row],[SALES TARGET]]</f>
        <v>0.22285714285714286</v>
      </c>
    </row>
    <row r="7" spans="1:24" ht="13" x14ac:dyDescent="0.3">
      <c r="A7">
        <f>'Sales and Revenue'!$L$3</f>
        <v>2019</v>
      </c>
      <c r="B7" t="str">
        <f>'Sales and Revenue'!$C$40</f>
        <v>Brisbane</v>
      </c>
      <c r="C7" t="str">
        <f>'Sales and Revenue'!H10</f>
        <v>Mobile Phones</v>
      </c>
      <c r="D7">
        <f>'Sales and Revenue'!L10</f>
        <v>1790400</v>
      </c>
      <c r="E7">
        <f>COGS!L11</f>
        <v>1208520</v>
      </c>
      <c r="F7">
        <f>Product_Profit[[#This Row],[SALES REVENUE]]-Product_Profit[[#This Row],[COGS]]</f>
        <v>581880</v>
      </c>
      <c r="G7">
        <f>'Sales Target &amp; Actual'!C9</f>
        <v>2000</v>
      </c>
      <c r="H7">
        <f>'Sales Target &amp; Actual'!I9</f>
        <v>2238</v>
      </c>
      <c r="I7">
        <f>Product_Profit[[#This Row],[ACTUAL SALES]]-Product_Profit[[#This Row],[SALES TARGET]]</f>
        <v>238</v>
      </c>
      <c r="J7" s="152">
        <f>Product_Profit[[#This Row],[TARGET ANALYSIS]]/Product_Profit[[#This Row],[SALES TARGET]]</f>
        <v>0.11899999999999999</v>
      </c>
      <c r="L7" s="91" t="s">
        <v>175</v>
      </c>
      <c r="M7" s="91"/>
    </row>
    <row r="8" spans="1:24" x14ac:dyDescent="0.25">
      <c r="A8">
        <f>'Sales and Revenue'!$L$3</f>
        <v>2019</v>
      </c>
      <c r="B8" t="str">
        <f>'Sales and Revenue'!$C$40</f>
        <v>Brisbane</v>
      </c>
      <c r="C8" t="str">
        <f>'Sales and Revenue'!H11</f>
        <v>Games and Consoles</v>
      </c>
      <c r="D8">
        <f>'Sales and Revenue'!L11</f>
        <v>1094880</v>
      </c>
      <c r="E8">
        <f>COGS!L12</f>
        <v>775540</v>
      </c>
      <c r="F8">
        <f>Product_Profit[[#This Row],[SALES REVENUE]]-Product_Profit[[#This Row],[COGS]]</f>
        <v>319340</v>
      </c>
      <c r="G8">
        <f>'Sales Target &amp; Actual'!C10</f>
        <v>1900</v>
      </c>
      <c r="H8">
        <f>'Sales Target &amp; Actual'!I10</f>
        <v>2281</v>
      </c>
      <c r="I8">
        <f>Product_Profit[[#This Row],[ACTUAL SALES]]-Product_Profit[[#This Row],[SALES TARGET]]</f>
        <v>381</v>
      </c>
      <c r="J8" s="152">
        <f>Product_Profit[[#This Row],[TARGET ANALYSIS]]/Product_Profit[[#This Row],[SALES TARGET]]</f>
        <v>0.20052631578947369</v>
      </c>
    </row>
    <row r="9" spans="1:24" ht="13" x14ac:dyDescent="0.3">
      <c r="A9">
        <f>'Sales and Revenue'!$L$3</f>
        <v>2019</v>
      </c>
      <c r="B9" t="str">
        <f>'Sales and Revenue'!$D$40</f>
        <v>Gold Coast</v>
      </c>
      <c r="C9" t="str">
        <f>C2</f>
        <v>Washing Machines</v>
      </c>
      <c r="D9">
        <f>'Sales and Revenue'!M5</f>
        <v>987000</v>
      </c>
      <c r="E9">
        <f>COGS!M6</f>
        <v>835660</v>
      </c>
      <c r="F9">
        <f>Product_Profit[[#This Row],[SALES REVENUE]]-Product_Profit[[#This Row],[COGS]]</f>
        <v>151340</v>
      </c>
      <c r="G9">
        <f>'Sales Target &amp; Actual'!D4</f>
        <v>1800</v>
      </c>
      <c r="H9">
        <f>'Sales Target &amp; Actual'!J4</f>
        <v>1316</v>
      </c>
      <c r="I9">
        <f>Product_Profit[[#This Row],[ACTUAL SALES]]-Product_Profit[[#This Row],[SALES TARGET]]</f>
        <v>-484</v>
      </c>
      <c r="J9" s="152">
        <f>Product_Profit[[#This Row],[TARGET ANALYSIS]]/Product_Profit[[#This Row],[SALES TARGET]]</f>
        <v>-0.2688888888888889</v>
      </c>
      <c r="L9" s="100" t="s">
        <v>178</v>
      </c>
    </row>
    <row r="10" spans="1:24" x14ac:dyDescent="0.25">
      <c r="A10">
        <f>'Sales and Revenue'!$L$3</f>
        <v>2019</v>
      </c>
      <c r="B10" t="str">
        <f>'Sales and Revenue'!$D$40</f>
        <v>Gold Coast</v>
      </c>
      <c r="C10" t="str">
        <f t="shared" ref="C10:C29" si="0">C3</f>
        <v>Fridges</v>
      </c>
      <c r="D10">
        <f>'Sales and Revenue'!M6</f>
        <v>1813500</v>
      </c>
      <c r="E10">
        <f>COGS!M7</f>
        <v>1534500</v>
      </c>
      <c r="F10">
        <f>Product_Profit[[#This Row],[SALES REVENUE]]-Product_Profit[[#This Row],[COGS]]</f>
        <v>279000</v>
      </c>
      <c r="G10">
        <f>'Sales Target &amp; Actual'!D5</f>
        <v>2600</v>
      </c>
      <c r="H10">
        <f>'Sales Target &amp; Actual'!J5</f>
        <v>2790</v>
      </c>
      <c r="I10">
        <f>Product_Profit[[#This Row],[ACTUAL SALES]]-Product_Profit[[#This Row],[SALES TARGET]]</f>
        <v>190</v>
      </c>
      <c r="J10" s="152">
        <f>Product_Profit[[#This Row],[TARGET ANALYSIS]]/Product_Profit[[#This Row],[SALES TARGET]]</f>
        <v>7.3076923076923081E-2</v>
      </c>
    </row>
    <row r="11" spans="1:24" x14ac:dyDescent="0.25">
      <c r="A11">
        <f>'Sales and Revenue'!$L$3</f>
        <v>2019</v>
      </c>
      <c r="B11" t="str">
        <f>'Sales and Revenue'!$D$40</f>
        <v>Gold Coast</v>
      </c>
      <c r="C11" t="str">
        <f t="shared" si="0"/>
        <v>Computers and Tablets</v>
      </c>
      <c r="D11">
        <f>'Sales and Revenue'!M7</f>
        <v>460700</v>
      </c>
      <c r="E11">
        <f>COGS!M8</f>
        <v>357720</v>
      </c>
      <c r="F11">
        <f>Product_Profit[[#This Row],[SALES REVENUE]]-Product_Profit[[#This Row],[COGS]]</f>
        <v>102980</v>
      </c>
      <c r="G11">
        <f>'Sales Target &amp; Actual'!D6</f>
        <v>700</v>
      </c>
      <c r="H11">
        <f>'Sales Target &amp; Actual'!J6</f>
        <v>542</v>
      </c>
      <c r="I11">
        <f>Product_Profit[[#This Row],[ACTUAL SALES]]-Product_Profit[[#This Row],[SALES TARGET]]</f>
        <v>-158</v>
      </c>
      <c r="J11" s="152">
        <f>Product_Profit[[#This Row],[TARGET ANALYSIS]]/Product_Profit[[#This Row],[SALES TARGET]]</f>
        <v>-0.2257142857142857</v>
      </c>
    </row>
    <row r="12" spans="1:24" x14ac:dyDescent="0.25">
      <c r="A12">
        <f>'Sales and Revenue'!$L$3</f>
        <v>2019</v>
      </c>
      <c r="B12" t="str">
        <f>'Sales and Revenue'!$D$40</f>
        <v>Gold Coast</v>
      </c>
      <c r="C12" t="str">
        <f t="shared" si="0"/>
        <v>Microwaves</v>
      </c>
      <c r="D12">
        <f>'Sales and Revenue'!M8</f>
        <v>787200</v>
      </c>
      <c r="E12">
        <f>COGS!M9</f>
        <v>590400</v>
      </c>
      <c r="F12">
        <f>Product_Profit[[#This Row],[SALES REVENUE]]-Product_Profit[[#This Row],[COGS]]</f>
        <v>196800</v>
      </c>
      <c r="G12">
        <f>'Sales Target &amp; Actual'!D7</f>
        <v>2100</v>
      </c>
      <c r="H12">
        <f>'Sales Target &amp; Actual'!J7</f>
        <v>1968</v>
      </c>
      <c r="I12">
        <f>Product_Profit[[#This Row],[ACTUAL SALES]]-Product_Profit[[#This Row],[SALES TARGET]]</f>
        <v>-132</v>
      </c>
      <c r="J12" s="152">
        <f>Product_Profit[[#This Row],[TARGET ANALYSIS]]/Product_Profit[[#This Row],[SALES TARGET]]</f>
        <v>-6.2857142857142861E-2</v>
      </c>
    </row>
    <row r="13" spans="1:24" ht="13" x14ac:dyDescent="0.3">
      <c r="A13">
        <f>'Sales and Revenue'!$L$3</f>
        <v>2019</v>
      </c>
      <c r="B13" t="str">
        <f>'Sales and Revenue'!$D$40</f>
        <v>Gold Coast</v>
      </c>
      <c r="C13" t="str">
        <f t="shared" si="0"/>
        <v>TVs</v>
      </c>
      <c r="D13">
        <f>'Sales and Revenue'!M9</f>
        <v>954800</v>
      </c>
      <c r="E13">
        <f>COGS!M10</f>
        <v>668360</v>
      </c>
      <c r="F13">
        <f>Product_Profit[[#This Row],[SALES REVENUE]]-Product_Profit[[#This Row],[COGS]]</f>
        <v>286440</v>
      </c>
      <c r="G13">
        <f>'Sales Target &amp; Actual'!D8</f>
        <v>1200</v>
      </c>
      <c r="H13">
        <f>'Sales Target &amp; Actual'!J8</f>
        <v>1364</v>
      </c>
      <c r="I13">
        <f>Product_Profit[[#This Row],[ACTUAL SALES]]-Product_Profit[[#This Row],[SALES TARGET]]</f>
        <v>164</v>
      </c>
      <c r="J13" s="152">
        <f>Product_Profit[[#This Row],[TARGET ANALYSIS]]/Product_Profit[[#This Row],[SALES TARGET]]</f>
        <v>0.13666666666666666</v>
      </c>
      <c r="L13" s="68" t="s">
        <v>189</v>
      </c>
      <c r="M13" s="35"/>
      <c r="N13" s="35"/>
      <c r="O13" s="35"/>
      <c r="P13" s="35"/>
      <c r="Q13" s="35"/>
      <c r="R13" s="35"/>
      <c r="S13" s="35"/>
      <c r="T13" s="35"/>
      <c r="U13" s="35"/>
      <c r="V13" s="35"/>
      <c r="W13" s="35"/>
      <c r="X13" s="35"/>
    </row>
    <row r="14" spans="1:24" x14ac:dyDescent="0.25">
      <c r="A14">
        <f>'Sales and Revenue'!$L$3</f>
        <v>2019</v>
      </c>
      <c r="B14" t="str">
        <f>'Sales and Revenue'!$D$40</f>
        <v>Gold Coast</v>
      </c>
      <c r="C14" t="str">
        <f t="shared" si="0"/>
        <v>Mobile Phones</v>
      </c>
      <c r="D14">
        <f>'Sales and Revenue'!M10</f>
        <v>1367200</v>
      </c>
      <c r="E14">
        <f>COGS!M11</f>
        <v>922860</v>
      </c>
      <c r="F14">
        <f>Product_Profit[[#This Row],[SALES REVENUE]]-Product_Profit[[#This Row],[COGS]]</f>
        <v>444340</v>
      </c>
      <c r="G14">
        <f>'Sales Target &amp; Actual'!D9</f>
        <v>1800</v>
      </c>
      <c r="H14">
        <f>'Sales Target &amp; Actual'!J9</f>
        <v>1709</v>
      </c>
      <c r="I14">
        <f>Product_Profit[[#This Row],[ACTUAL SALES]]-Product_Profit[[#This Row],[SALES TARGET]]</f>
        <v>-91</v>
      </c>
      <c r="J14" s="152">
        <f>Product_Profit[[#This Row],[TARGET ANALYSIS]]/Product_Profit[[#This Row],[SALES TARGET]]</f>
        <v>-5.0555555555555555E-2</v>
      </c>
      <c r="L14" s="35"/>
      <c r="M14" s="35"/>
      <c r="N14" s="35"/>
      <c r="O14" s="35"/>
      <c r="P14" s="35"/>
      <c r="Q14" s="35"/>
      <c r="R14" s="35"/>
      <c r="S14" s="35"/>
      <c r="T14" s="35"/>
      <c r="U14" s="35"/>
      <c r="V14" s="35"/>
      <c r="W14" s="35"/>
      <c r="X14" s="35"/>
    </row>
    <row r="15" spans="1:24" ht="13" x14ac:dyDescent="0.3">
      <c r="A15">
        <f>'Sales and Revenue'!$L$3</f>
        <v>2019</v>
      </c>
      <c r="B15" t="str">
        <f>'Sales and Revenue'!$D$40</f>
        <v>Gold Coast</v>
      </c>
      <c r="C15" t="str">
        <f t="shared" si="0"/>
        <v>Games and Consoles</v>
      </c>
      <c r="D15">
        <f>'Sales and Revenue'!M11</f>
        <v>829920</v>
      </c>
      <c r="E15">
        <f>COGS!M12</f>
        <v>587860</v>
      </c>
      <c r="F15">
        <f>Product_Profit[[#This Row],[SALES REVENUE]]-Product_Profit[[#This Row],[COGS]]</f>
        <v>242060</v>
      </c>
      <c r="G15">
        <f>'Sales Target &amp; Actual'!D10</f>
        <v>1700</v>
      </c>
      <c r="H15">
        <f>'Sales Target &amp; Actual'!J10</f>
        <v>1729</v>
      </c>
      <c r="I15">
        <f>Product_Profit[[#This Row],[ACTUAL SALES]]-Product_Profit[[#This Row],[SALES TARGET]]</f>
        <v>29</v>
      </c>
      <c r="J15" s="152">
        <f>Product_Profit[[#This Row],[TARGET ANALYSIS]]/Product_Profit[[#This Row],[SALES TARGET]]</f>
        <v>1.7058823529411765E-2</v>
      </c>
      <c r="L15" s="68" t="s">
        <v>193</v>
      </c>
      <c r="M15" s="35"/>
      <c r="N15" s="35"/>
      <c r="O15" s="35"/>
      <c r="P15" s="35"/>
      <c r="Q15" s="35"/>
      <c r="R15" s="35"/>
      <c r="S15" s="35"/>
      <c r="T15" s="35"/>
      <c r="U15" s="35"/>
      <c r="V15" s="35"/>
      <c r="W15" s="35"/>
      <c r="X15" s="35"/>
    </row>
    <row r="16" spans="1:24" x14ac:dyDescent="0.25">
      <c r="A16">
        <f>'Sales and Revenue'!$L$3</f>
        <v>2019</v>
      </c>
      <c r="B16" t="str">
        <f>'Sales and Revenue'!$E$40</f>
        <v>Townsville</v>
      </c>
      <c r="C16" t="str">
        <f>C9</f>
        <v>Washing Machines</v>
      </c>
      <c r="D16">
        <f>'Sales and Revenue'!N5</f>
        <v>653250</v>
      </c>
      <c r="E16">
        <f>COGS!N6</f>
        <v>553085</v>
      </c>
      <c r="F16">
        <f>Product_Profit[[#This Row],[SALES REVENUE]]-Product_Profit[[#This Row],[COGS]]</f>
        <v>100165</v>
      </c>
      <c r="G16">
        <f>'Sales Target &amp; Actual'!E4</f>
        <v>1100</v>
      </c>
      <c r="H16">
        <f>'Sales Target &amp; Actual'!K4</f>
        <v>871</v>
      </c>
      <c r="I16">
        <f>Product_Profit[[#This Row],[ACTUAL SALES]]-Product_Profit[[#This Row],[SALES TARGET]]</f>
        <v>-229</v>
      </c>
      <c r="J16" s="152">
        <f>Product_Profit[[#This Row],[TARGET ANALYSIS]]/Product_Profit[[#This Row],[SALES TARGET]]</f>
        <v>-0.20818181818181819</v>
      </c>
      <c r="L16" s="35"/>
      <c r="M16" s="35"/>
      <c r="N16" s="35"/>
      <c r="O16" s="35"/>
      <c r="P16" s="35"/>
      <c r="Q16" s="35"/>
      <c r="R16" s="35"/>
      <c r="S16" s="35"/>
      <c r="T16" s="35"/>
      <c r="U16" s="35"/>
      <c r="V16" s="35"/>
      <c r="W16" s="35"/>
      <c r="X16" s="35"/>
    </row>
    <row r="17" spans="1:24" ht="13" x14ac:dyDescent="0.3">
      <c r="A17">
        <f>'Sales and Revenue'!$L$3</f>
        <v>2019</v>
      </c>
      <c r="B17" t="str">
        <f>'Sales and Revenue'!$E$40</f>
        <v>Townsville</v>
      </c>
      <c r="C17" t="str">
        <f t="shared" si="0"/>
        <v>Fridges</v>
      </c>
      <c r="D17">
        <f>'Sales and Revenue'!N6</f>
        <v>1021150</v>
      </c>
      <c r="E17">
        <f>COGS!N7</f>
        <v>864050</v>
      </c>
      <c r="F17">
        <f>Product_Profit[[#This Row],[SALES REVENUE]]-Product_Profit[[#This Row],[COGS]]</f>
        <v>157100</v>
      </c>
      <c r="G17">
        <f>'Sales Target &amp; Actual'!E5</f>
        <v>1600</v>
      </c>
      <c r="H17">
        <f>'Sales Target &amp; Actual'!K5</f>
        <v>1571</v>
      </c>
      <c r="I17">
        <f>Product_Profit[[#This Row],[ACTUAL SALES]]-Product_Profit[[#This Row],[SALES TARGET]]</f>
        <v>-29</v>
      </c>
      <c r="J17" s="152">
        <f>Product_Profit[[#This Row],[TARGET ANALYSIS]]/Product_Profit[[#This Row],[SALES TARGET]]</f>
        <v>-1.8124999999999999E-2</v>
      </c>
      <c r="L17" s="68" t="s">
        <v>194</v>
      </c>
      <c r="M17" s="35"/>
      <c r="N17" s="35"/>
      <c r="O17" s="35"/>
      <c r="P17" s="35"/>
      <c r="Q17" s="35"/>
      <c r="R17" s="35"/>
      <c r="S17" s="35"/>
      <c r="T17" s="35"/>
      <c r="U17" s="35"/>
      <c r="V17" s="35"/>
      <c r="W17" s="35"/>
      <c r="X17" s="35"/>
    </row>
    <row r="18" spans="1:24" x14ac:dyDescent="0.25">
      <c r="A18">
        <f>'Sales and Revenue'!$L$3</f>
        <v>2019</v>
      </c>
      <c r="B18" t="str">
        <f>'Sales and Revenue'!$E$40</f>
        <v>Townsville</v>
      </c>
      <c r="C18" t="str">
        <f t="shared" si="0"/>
        <v>Computers and Tablets</v>
      </c>
      <c r="D18">
        <f>'Sales and Revenue'!N7</f>
        <v>438600</v>
      </c>
      <c r="E18">
        <f>COGS!N8</f>
        <v>340560</v>
      </c>
      <c r="F18">
        <f>Product_Profit[[#This Row],[SALES REVENUE]]-Product_Profit[[#This Row],[COGS]]</f>
        <v>98040</v>
      </c>
      <c r="G18">
        <f>'Sales Target &amp; Actual'!E6</f>
        <v>500</v>
      </c>
      <c r="H18">
        <f>'Sales Target &amp; Actual'!K6</f>
        <v>516</v>
      </c>
      <c r="I18">
        <f>Product_Profit[[#This Row],[ACTUAL SALES]]-Product_Profit[[#This Row],[SALES TARGET]]</f>
        <v>16</v>
      </c>
      <c r="J18" s="152">
        <f>Product_Profit[[#This Row],[TARGET ANALYSIS]]/Product_Profit[[#This Row],[SALES TARGET]]</f>
        <v>3.2000000000000001E-2</v>
      </c>
      <c r="L18" s="35"/>
      <c r="M18" s="35"/>
      <c r="N18" s="35"/>
      <c r="O18" s="35"/>
      <c r="P18" s="35"/>
      <c r="Q18" s="35"/>
      <c r="R18" s="35"/>
      <c r="S18" s="35"/>
      <c r="T18" s="35"/>
      <c r="U18" s="35"/>
      <c r="V18" s="35"/>
      <c r="W18" s="35"/>
      <c r="X18" s="35"/>
    </row>
    <row r="19" spans="1:24" x14ac:dyDescent="0.25">
      <c r="A19">
        <f>'Sales and Revenue'!$L$3</f>
        <v>2019</v>
      </c>
      <c r="B19" t="str">
        <f>'Sales and Revenue'!$E$40</f>
        <v>Townsville</v>
      </c>
      <c r="C19" t="str">
        <f t="shared" si="0"/>
        <v>Microwaves</v>
      </c>
      <c r="D19">
        <f>'Sales and Revenue'!N8</f>
        <v>502000</v>
      </c>
      <c r="E19">
        <f>COGS!N9</f>
        <v>376500</v>
      </c>
      <c r="F19">
        <f>Product_Profit[[#This Row],[SALES REVENUE]]-Product_Profit[[#This Row],[COGS]]</f>
        <v>125500</v>
      </c>
      <c r="G19">
        <f>'Sales Target &amp; Actual'!E7</f>
        <v>1300</v>
      </c>
      <c r="H19">
        <f>'Sales Target &amp; Actual'!K7</f>
        <v>1255</v>
      </c>
      <c r="I19">
        <f>Product_Profit[[#This Row],[ACTUAL SALES]]-Product_Profit[[#This Row],[SALES TARGET]]</f>
        <v>-45</v>
      </c>
      <c r="J19" s="152">
        <f>Product_Profit[[#This Row],[TARGET ANALYSIS]]/Product_Profit[[#This Row],[SALES TARGET]]</f>
        <v>-3.4615384615384617E-2</v>
      </c>
      <c r="L19" s="35"/>
      <c r="M19" s="35"/>
      <c r="N19" s="35"/>
      <c r="O19" s="35"/>
      <c r="P19" s="35"/>
      <c r="Q19" s="35"/>
      <c r="R19" s="35"/>
      <c r="S19" s="35"/>
      <c r="T19" s="35"/>
      <c r="U19" s="35"/>
      <c r="V19" s="35"/>
      <c r="W19" s="35"/>
      <c r="X19" s="35"/>
    </row>
    <row r="20" spans="1:24" x14ac:dyDescent="0.25">
      <c r="A20">
        <f>'Sales and Revenue'!$L$3</f>
        <v>2019</v>
      </c>
      <c r="B20" t="str">
        <f>'Sales and Revenue'!$E$40</f>
        <v>Townsville</v>
      </c>
      <c r="C20" t="str">
        <f t="shared" si="0"/>
        <v>TVs</v>
      </c>
      <c r="D20">
        <f>'Sales and Revenue'!N9</f>
        <v>499800</v>
      </c>
      <c r="E20">
        <f>COGS!N10</f>
        <v>349860</v>
      </c>
      <c r="F20">
        <f>Product_Profit[[#This Row],[SALES REVENUE]]-Product_Profit[[#This Row],[COGS]]</f>
        <v>149940</v>
      </c>
      <c r="G20">
        <f>'Sales Target &amp; Actual'!E8</f>
        <v>800</v>
      </c>
      <c r="H20">
        <f>'Sales Target &amp; Actual'!K8</f>
        <v>714</v>
      </c>
      <c r="I20">
        <f>Product_Profit[[#This Row],[ACTUAL SALES]]-Product_Profit[[#This Row],[SALES TARGET]]</f>
        <v>-86</v>
      </c>
      <c r="J20" s="152">
        <f>Product_Profit[[#This Row],[TARGET ANALYSIS]]/Product_Profit[[#This Row],[SALES TARGET]]</f>
        <v>-0.1075</v>
      </c>
      <c r="L20" s="35"/>
      <c r="M20" s="35"/>
      <c r="N20" s="35"/>
      <c r="O20" s="35"/>
      <c r="P20" s="35"/>
      <c r="Q20" s="35"/>
      <c r="R20" s="35"/>
      <c r="S20" s="35"/>
      <c r="T20" s="35"/>
      <c r="U20" s="35"/>
      <c r="V20" s="35"/>
      <c r="W20" s="35"/>
      <c r="X20" s="35"/>
    </row>
    <row r="21" spans="1:24" x14ac:dyDescent="0.25">
      <c r="A21">
        <f>'Sales and Revenue'!$L$3</f>
        <v>2019</v>
      </c>
      <c r="B21" t="str">
        <f>'Sales and Revenue'!$E$40</f>
        <v>Townsville</v>
      </c>
      <c r="C21" t="str">
        <f t="shared" si="0"/>
        <v>Mobile Phones</v>
      </c>
      <c r="D21">
        <f>'Sales and Revenue'!N10</f>
        <v>883200</v>
      </c>
      <c r="E21">
        <f>COGS!N11</f>
        <v>596160</v>
      </c>
      <c r="F21">
        <f>Product_Profit[[#This Row],[SALES REVENUE]]-Product_Profit[[#This Row],[COGS]]</f>
        <v>287040</v>
      </c>
      <c r="G21">
        <f>'Sales Target &amp; Actual'!E9</f>
        <v>1100</v>
      </c>
      <c r="H21">
        <f>'Sales Target &amp; Actual'!K9</f>
        <v>1104</v>
      </c>
      <c r="I21">
        <f>Product_Profit[[#This Row],[ACTUAL SALES]]-Product_Profit[[#This Row],[SALES TARGET]]</f>
        <v>4</v>
      </c>
      <c r="J21" s="152">
        <f>Product_Profit[[#This Row],[TARGET ANALYSIS]]/Product_Profit[[#This Row],[SALES TARGET]]</f>
        <v>3.6363636363636364E-3</v>
      </c>
      <c r="L21" s="35"/>
      <c r="M21" s="35"/>
      <c r="N21" s="35"/>
      <c r="O21" s="35"/>
      <c r="P21" s="35"/>
      <c r="Q21" s="35"/>
      <c r="R21" s="35"/>
      <c r="S21" s="35"/>
      <c r="T21" s="35"/>
      <c r="U21" s="35"/>
      <c r="V21" s="35"/>
      <c r="W21" s="35"/>
      <c r="X21" s="35"/>
    </row>
    <row r="22" spans="1:24" x14ac:dyDescent="0.25">
      <c r="A22">
        <f>'Sales and Revenue'!$L$3</f>
        <v>2019</v>
      </c>
      <c r="B22" t="str">
        <f>'Sales and Revenue'!$E$40</f>
        <v>Townsville</v>
      </c>
      <c r="C22" t="str">
        <f t="shared" si="0"/>
        <v>Games and Consoles</v>
      </c>
      <c r="D22">
        <f>'Sales and Revenue'!N11</f>
        <v>538080</v>
      </c>
      <c r="E22">
        <f>COGS!N12</f>
        <v>381140</v>
      </c>
      <c r="F22">
        <f>Product_Profit[[#This Row],[SALES REVENUE]]-Product_Profit[[#This Row],[COGS]]</f>
        <v>156940</v>
      </c>
      <c r="G22">
        <f>'Sales Target &amp; Actual'!E10</f>
        <v>1000</v>
      </c>
      <c r="H22">
        <f>'Sales Target &amp; Actual'!K10</f>
        <v>1121</v>
      </c>
      <c r="I22">
        <f>Product_Profit[[#This Row],[ACTUAL SALES]]-Product_Profit[[#This Row],[SALES TARGET]]</f>
        <v>121</v>
      </c>
      <c r="J22" s="152">
        <f>Product_Profit[[#This Row],[TARGET ANALYSIS]]/Product_Profit[[#This Row],[SALES TARGET]]</f>
        <v>0.121</v>
      </c>
    </row>
    <row r="23" spans="1:24" x14ac:dyDescent="0.25">
      <c r="A23">
        <f>'Sales and Revenue'!$L$3</f>
        <v>2019</v>
      </c>
      <c r="B23" t="str">
        <f>'Sales and Revenue'!$F$40</f>
        <v>Cairns</v>
      </c>
      <c r="C23" t="str">
        <f>C16</f>
        <v>Washing Machines</v>
      </c>
      <c r="D23">
        <f>'Sales and Revenue'!O5</f>
        <v>512250</v>
      </c>
      <c r="E23">
        <f>COGS!O6</f>
        <v>433705</v>
      </c>
      <c r="F23">
        <f>Product_Profit[[#This Row],[SALES REVENUE]]-Product_Profit[[#This Row],[COGS]]</f>
        <v>78545</v>
      </c>
      <c r="G23">
        <f>'Sales Target &amp; Actual'!F4</f>
        <v>800</v>
      </c>
      <c r="H23">
        <f>'Sales Target &amp; Actual'!L4</f>
        <v>683</v>
      </c>
      <c r="I23">
        <f>Product_Profit[[#This Row],[ACTUAL SALES]]-Product_Profit[[#This Row],[SALES TARGET]]</f>
        <v>-117</v>
      </c>
      <c r="J23" s="152">
        <f>Product_Profit[[#This Row],[TARGET ANALYSIS]]/Product_Profit[[#This Row],[SALES TARGET]]</f>
        <v>-0.14624999999999999</v>
      </c>
    </row>
    <row r="24" spans="1:24" x14ac:dyDescent="0.25">
      <c r="A24">
        <f>'Sales and Revenue'!$L$3</f>
        <v>2019</v>
      </c>
      <c r="B24" t="str">
        <f>'Sales and Revenue'!$F$40</f>
        <v>Cairns</v>
      </c>
      <c r="C24" t="str">
        <f t="shared" si="0"/>
        <v>Fridges</v>
      </c>
      <c r="D24">
        <f>'Sales and Revenue'!O6</f>
        <v>809900</v>
      </c>
      <c r="E24">
        <f>COGS!O7</f>
        <v>685300</v>
      </c>
      <c r="F24">
        <f>Product_Profit[[#This Row],[SALES REVENUE]]-Product_Profit[[#This Row],[COGS]]</f>
        <v>124600</v>
      </c>
      <c r="G24">
        <f>'Sales Target &amp; Actual'!F5</f>
        <v>1100</v>
      </c>
      <c r="H24">
        <f>'Sales Target &amp; Actual'!L5</f>
        <v>1246</v>
      </c>
      <c r="I24">
        <f>Product_Profit[[#This Row],[ACTUAL SALES]]-Product_Profit[[#This Row],[SALES TARGET]]</f>
        <v>146</v>
      </c>
      <c r="J24" s="152">
        <f>Product_Profit[[#This Row],[TARGET ANALYSIS]]/Product_Profit[[#This Row],[SALES TARGET]]</f>
        <v>0.13272727272727272</v>
      </c>
    </row>
    <row r="25" spans="1:24" x14ac:dyDescent="0.25">
      <c r="A25">
        <f>'Sales and Revenue'!$L$3</f>
        <v>2019</v>
      </c>
      <c r="B25" t="str">
        <f>'Sales and Revenue'!$F$40</f>
        <v>Cairns</v>
      </c>
      <c r="C25" t="str">
        <f t="shared" si="0"/>
        <v>Computers and Tablets</v>
      </c>
      <c r="D25">
        <f>'Sales and Revenue'!O7</f>
        <v>544000</v>
      </c>
      <c r="E25">
        <f>COGS!O8</f>
        <v>422400</v>
      </c>
      <c r="F25">
        <f>Product_Profit[[#This Row],[SALES REVENUE]]-Product_Profit[[#This Row],[COGS]]</f>
        <v>121600</v>
      </c>
      <c r="G25">
        <f>'Sales Target &amp; Actual'!F6</f>
        <v>300</v>
      </c>
      <c r="H25">
        <f>'Sales Target &amp; Actual'!L6</f>
        <v>640</v>
      </c>
      <c r="I25">
        <f>Product_Profit[[#This Row],[ACTUAL SALES]]-Product_Profit[[#This Row],[SALES TARGET]]</f>
        <v>340</v>
      </c>
      <c r="J25" s="152">
        <f>Product_Profit[[#This Row],[TARGET ANALYSIS]]/Product_Profit[[#This Row],[SALES TARGET]]</f>
        <v>1.1333333333333333</v>
      </c>
    </row>
    <row r="26" spans="1:24" x14ac:dyDescent="0.25">
      <c r="A26">
        <f>'Sales and Revenue'!$L$3</f>
        <v>2019</v>
      </c>
      <c r="B26" t="str">
        <f>'Sales and Revenue'!$F$40</f>
        <v>Cairns</v>
      </c>
      <c r="C26" t="str">
        <f t="shared" si="0"/>
        <v>Microwaves</v>
      </c>
      <c r="D26">
        <f>'Sales and Revenue'!O8</f>
        <v>460000</v>
      </c>
      <c r="E26">
        <f>COGS!O9</f>
        <v>345000</v>
      </c>
      <c r="F26">
        <f>Product_Profit[[#This Row],[SALES REVENUE]]-Product_Profit[[#This Row],[COGS]]</f>
        <v>115000</v>
      </c>
      <c r="G26">
        <f>'Sales Target &amp; Actual'!F7</f>
        <v>900</v>
      </c>
      <c r="H26">
        <f>'Sales Target &amp; Actual'!L7</f>
        <v>1150</v>
      </c>
      <c r="I26">
        <f>Product_Profit[[#This Row],[ACTUAL SALES]]-Product_Profit[[#This Row],[SALES TARGET]]</f>
        <v>250</v>
      </c>
      <c r="J26" s="152">
        <f>Product_Profit[[#This Row],[TARGET ANALYSIS]]/Product_Profit[[#This Row],[SALES TARGET]]</f>
        <v>0.27777777777777779</v>
      </c>
    </row>
    <row r="27" spans="1:24" x14ac:dyDescent="0.25">
      <c r="A27">
        <f>'Sales and Revenue'!$L$3</f>
        <v>2019</v>
      </c>
      <c r="B27" t="str">
        <f>'Sales and Revenue'!$F$40</f>
        <v>Cairns</v>
      </c>
      <c r="C27" t="str">
        <f t="shared" si="0"/>
        <v>TVs</v>
      </c>
      <c r="D27">
        <f>'Sales and Revenue'!O9</f>
        <v>480200</v>
      </c>
      <c r="E27">
        <f>COGS!O10</f>
        <v>336140</v>
      </c>
      <c r="F27">
        <f>Product_Profit[[#This Row],[SALES REVENUE]]-Product_Profit[[#This Row],[COGS]]</f>
        <v>144060</v>
      </c>
      <c r="G27">
        <f>'Sales Target &amp; Actual'!F8</f>
        <v>500</v>
      </c>
      <c r="H27">
        <f>'Sales Target &amp; Actual'!L8</f>
        <v>686</v>
      </c>
      <c r="I27">
        <f>Product_Profit[[#This Row],[ACTUAL SALES]]-Product_Profit[[#This Row],[SALES TARGET]]</f>
        <v>186</v>
      </c>
      <c r="J27" s="152">
        <f>Product_Profit[[#This Row],[TARGET ANALYSIS]]/Product_Profit[[#This Row],[SALES TARGET]]</f>
        <v>0.372</v>
      </c>
    </row>
    <row r="28" spans="1:24" x14ac:dyDescent="0.25">
      <c r="A28">
        <f>'Sales and Revenue'!$L$3</f>
        <v>2019</v>
      </c>
      <c r="B28" t="str">
        <f>'Sales and Revenue'!$F$40</f>
        <v>Cairns</v>
      </c>
      <c r="C28" t="str">
        <f t="shared" si="0"/>
        <v>Mobile Phones</v>
      </c>
      <c r="D28">
        <f>'Sales and Revenue'!O10</f>
        <v>777600</v>
      </c>
      <c r="E28">
        <f>COGS!O11</f>
        <v>524880</v>
      </c>
      <c r="F28">
        <f>Product_Profit[[#This Row],[SALES REVENUE]]-Product_Profit[[#This Row],[COGS]]</f>
        <v>252720</v>
      </c>
      <c r="G28">
        <f>'Sales Target &amp; Actual'!F9</f>
        <v>800</v>
      </c>
      <c r="H28">
        <f>'Sales Target &amp; Actual'!L9</f>
        <v>972</v>
      </c>
      <c r="I28">
        <f>Product_Profit[[#This Row],[ACTUAL SALES]]-Product_Profit[[#This Row],[SALES TARGET]]</f>
        <v>172</v>
      </c>
      <c r="J28" s="152">
        <f>Product_Profit[[#This Row],[TARGET ANALYSIS]]/Product_Profit[[#This Row],[SALES TARGET]]</f>
        <v>0.215</v>
      </c>
    </row>
    <row r="29" spans="1:24" x14ac:dyDescent="0.25">
      <c r="A29">
        <f>'Sales and Revenue'!$L$3</f>
        <v>2019</v>
      </c>
      <c r="B29" t="str">
        <f>'Sales and Revenue'!$F$40</f>
        <v>Cairns</v>
      </c>
      <c r="C29" t="str">
        <f t="shared" si="0"/>
        <v>Games and Consoles</v>
      </c>
      <c r="D29">
        <f>'Sales and Revenue'!O11</f>
        <v>438720</v>
      </c>
      <c r="E29">
        <f>COGS!O12</f>
        <v>310760</v>
      </c>
      <c r="F29">
        <f>Product_Profit[[#This Row],[SALES REVENUE]]-Product_Profit[[#This Row],[COGS]]</f>
        <v>127960</v>
      </c>
      <c r="G29">
        <f>'Sales Target &amp; Actual'!F10</f>
        <v>700</v>
      </c>
      <c r="H29">
        <f>'Sales Target &amp; Actual'!L10</f>
        <v>914</v>
      </c>
      <c r="I29">
        <f>Product_Profit[[#This Row],[ACTUAL SALES]]-Product_Profit[[#This Row],[SALES TARGET]]</f>
        <v>214</v>
      </c>
      <c r="J29" s="152">
        <f>Product_Profit[[#This Row],[TARGET ANALYSIS]]/Product_Profit[[#This Row],[SALES TARGET]]</f>
        <v>0.30571428571428572</v>
      </c>
    </row>
    <row r="30" spans="1:24" x14ac:dyDescent="0.25">
      <c r="A30">
        <f>'Sales and Revenue'!$L$15</f>
        <v>2020</v>
      </c>
      <c r="B30" t="str">
        <f>'Sales and Revenue'!$C$40</f>
        <v>Brisbane</v>
      </c>
      <c r="C30" t="str">
        <f>C2</f>
        <v>Washing Machines</v>
      </c>
      <c r="D30">
        <f>'Sales and Revenue'!L17</f>
        <v>1446000</v>
      </c>
      <c r="E30">
        <f>COGS!L18</f>
        <v>1224280</v>
      </c>
      <c r="F30">
        <f>Product_Profit[[#This Row],[SALES REVENUE]]-Product_Profit[[#This Row],[COGS]]</f>
        <v>221720</v>
      </c>
      <c r="G30">
        <f>'Sales Target &amp; Actual'!C15</f>
        <v>2000</v>
      </c>
      <c r="H30">
        <f>'Sales Target &amp; Actual'!I15</f>
        <v>1928</v>
      </c>
      <c r="I30">
        <f>Product_Profit[[#This Row],[ACTUAL SALES]]-Product_Profit[[#This Row],[SALES TARGET]]</f>
        <v>-72</v>
      </c>
      <c r="J30" s="152">
        <f>Product_Profit[[#This Row],[TARGET ANALYSIS]]/Product_Profit[[#This Row],[SALES TARGET]]</f>
        <v>-3.5999999999999997E-2</v>
      </c>
    </row>
    <row r="31" spans="1:24" x14ac:dyDescent="0.25">
      <c r="A31">
        <f>'Sales and Revenue'!$L$15</f>
        <v>2020</v>
      </c>
      <c r="B31" t="str">
        <f>'Sales and Revenue'!$C$40</f>
        <v>Brisbane</v>
      </c>
      <c r="C31" t="str">
        <f t="shared" ref="C31:C85" si="1">C3</f>
        <v>Fridges</v>
      </c>
      <c r="D31">
        <f>'Sales and Revenue'!L18</f>
        <v>2007200</v>
      </c>
      <c r="E31">
        <f>COGS!L19</f>
        <v>1698400</v>
      </c>
      <c r="F31">
        <f>Product_Profit[[#This Row],[SALES REVENUE]]-Product_Profit[[#This Row],[COGS]]</f>
        <v>308800</v>
      </c>
      <c r="G31">
        <f>'Sales Target &amp; Actual'!C16</f>
        <v>3000</v>
      </c>
      <c r="H31">
        <f>'Sales Target &amp; Actual'!I16</f>
        <v>3088</v>
      </c>
      <c r="I31">
        <f>Product_Profit[[#This Row],[ACTUAL SALES]]-Product_Profit[[#This Row],[SALES TARGET]]</f>
        <v>88</v>
      </c>
      <c r="J31" s="152">
        <f>Product_Profit[[#This Row],[TARGET ANALYSIS]]/Product_Profit[[#This Row],[SALES TARGET]]</f>
        <v>2.9333333333333333E-2</v>
      </c>
    </row>
    <row r="32" spans="1:24" x14ac:dyDescent="0.25">
      <c r="A32">
        <f>'Sales and Revenue'!$L$15</f>
        <v>2020</v>
      </c>
      <c r="B32" t="str">
        <f>'Sales and Revenue'!$C$40</f>
        <v>Brisbane</v>
      </c>
      <c r="C32" t="str">
        <f t="shared" si="1"/>
        <v>Computers and Tablets</v>
      </c>
      <c r="D32">
        <f>'Sales and Revenue'!L19</f>
        <v>653650</v>
      </c>
      <c r="E32">
        <f>COGS!L20</f>
        <v>507540</v>
      </c>
      <c r="F32">
        <f>Product_Profit[[#This Row],[SALES REVENUE]]-Product_Profit[[#This Row],[COGS]]</f>
        <v>146110</v>
      </c>
      <c r="G32">
        <f>'Sales Target &amp; Actual'!C17</f>
        <v>800</v>
      </c>
      <c r="H32">
        <f>'Sales Target &amp; Actual'!I17</f>
        <v>769</v>
      </c>
      <c r="I32">
        <f>Product_Profit[[#This Row],[ACTUAL SALES]]-Product_Profit[[#This Row],[SALES TARGET]]</f>
        <v>-31</v>
      </c>
      <c r="J32" s="152">
        <f>Product_Profit[[#This Row],[TARGET ANALYSIS]]/Product_Profit[[#This Row],[SALES TARGET]]</f>
        <v>-3.875E-2</v>
      </c>
    </row>
    <row r="33" spans="1:10" x14ac:dyDescent="0.25">
      <c r="A33">
        <f>'Sales and Revenue'!$L$15</f>
        <v>2020</v>
      </c>
      <c r="B33" t="str">
        <f>'Sales and Revenue'!$C$40</f>
        <v>Brisbane</v>
      </c>
      <c r="C33" t="str">
        <f t="shared" si="1"/>
        <v>Microwaves</v>
      </c>
      <c r="D33">
        <f>'Sales and Revenue'!L20</f>
        <v>1096000</v>
      </c>
      <c r="E33">
        <f>COGS!L21</f>
        <v>822000</v>
      </c>
      <c r="F33">
        <f>Product_Profit[[#This Row],[SALES REVENUE]]-Product_Profit[[#This Row],[COGS]]</f>
        <v>274000</v>
      </c>
      <c r="G33">
        <f>'Sales Target &amp; Actual'!C18</f>
        <v>2400</v>
      </c>
      <c r="H33">
        <f>'Sales Target &amp; Actual'!I18</f>
        <v>2740</v>
      </c>
      <c r="I33">
        <f>Product_Profit[[#This Row],[ACTUAL SALES]]-Product_Profit[[#This Row],[SALES TARGET]]</f>
        <v>340</v>
      </c>
      <c r="J33" s="152">
        <f>Product_Profit[[#This Row],[TARGET ANALYSIS]]/Product_Profit[[#This Row],[SALES TARGET]]</f>
        <v>0.14166666666666666</v>
      </c>
    </row>
    <row r="34" spans="1:10" x14ac:dyDescent="0.25">
      <c r="A34">
        <f>'Sales and Revenue'!$L$15</f>
        <v>2020</v>
      </c>
      <c r="B34" t="str">
        <f>'Sales and Revenue'!$C$40</f>
        <v>Brisbane</v>
      </c>
      <c r="C34" t="str">
        <f t="shared" si="1"/>
        <v>TVs</v>
      </c>
      <c r="D34">
        <f>'Sales and Revenue'!L21</f>
        <v>1158500</v>
      </c>
      <c r="E34">
        <f>COGS!L22</f>
        <v>810950</v>
      </c>
      <c r="F34">
        <f>Product_Profit[[#This Row],[SALES REVENUE]]-Product_Profit[[#This Row],[COGS]]</f>
        <v>347550</v>
      </c>
      <c r="G34">
        <f>'Sales Target &amp; Actual'!C19</f>
        <v>1400</v>
      </c>
      <c r="H34">
        <f>'Sales Target &amp; Actual'!I19</f>
        <v>1655</v>
      </c>
      <c r="I34">
        <f>Product_Profit[[#This Row],[ACTUAL SALES]]-Product_Profit[[#This Row],[SALES TARGET]]</f>
        <v>255</v>
      </c>
      <c r="J34" s="152">
        <f>Product_Profit[[#This Row],[TARGET ANALYSIS]]/Product_Profit[[#This Row],[SALES TARGET]]</f>
        <v>0.18214285714285713</v>
      </c>
    </row>
    <row r="35" spans="1:10" x14ac:dyDescent="0.25">
      <c r="A35">
        <f>'Sales and Revenue'!$L$15</f>
        <v>2020</v>
      </c>
      <c r="B35" t="str">
        <f>'Sales and Revenue'!$C$40</f>
        <v>Brisbane</v>
      </c>
      <c r="C35" t="str">
        <f t="shared" si="1"/>
        <v>Mobile Phones</v>
      </c>
      <c r="D35">
        <f>'Sales and Revenue'!L22</f>
        <v>1904800</v>
      </c>
      <c r="E35">
        <f>COGS!L23</f>
        <v>1285740</v>
      </c>
      <c r="F35">
        <f>Product_Profit[[#This Row],[SALES REVENUE]]-Product_Profit[[#This Row],[COGS]]</f>
        <v>619060</v>
      </c>
      <c r="G35">
        <f>'Sales Target &amp; Actual'!C20</f>
        <v>2000</v>
      </c>
      <c r="H35">
        <f>'Sales Target &amp; Actual'!I20</f>
        <v>2381</v>
      </c>
      <c r="I35">
        <f>Product_Profit[[#This Row],[ACTUAL SALES]]-Product_Profit[[#This Row],[SALES TARGET]]</f>
        <v>381</v>
      </c>
      <c r="J35" s="152">
        <f>Product_Profit[[#This Row],[TARGET ANALYSIS]]/Product_Profit[[#This Row],[SALES TARGET]]</f>
        <v>0.1905</v>
      </c>
    </row>
    <row r="36" spans="1:10" x14ac:dyDescent="0.25">
      <c r="A36">
        <f>'Sales and Revenue'!$L$15</f>
        <v>2020</v>
      </c>
      <c r="B36" t="str">
        <f>'Sales and Revenue'!$C$40</f>
        <v>Brisbane</v>
      </c>
      <c r="C36" t="str">
        <f t="shared" si="1"/>
        <v>Games and Consoles</v>
      </c>
      <c r="D36">
        <f>'Sales and Revenue'!L23</f>
        <v>1098720</v>
      </c>
      <c r="E36">
        <f>COGS!L24</f>
        <v>778260</v>
      </c>
      <c r="F36">
        <f>Product_Profit[[#This Row],[SALES REVENUE]]-Product_Profit[[#This Row],[COGS]]</f>
        <v>320460</v>
      </c>
      <c r="G36">
        <f>'Sales Target &amp; Actual'!C21</f>
        <v>1900</v>
      </c>
      <c r="H36">
        <f>'Sales Target &amp; Actual'!I21</f>
        <v>2289</v>
      </c>
      <c r="I36">
        <f>Product_Profit[[#This Row],[ACTUAL SALES]]-Product_Profit[[#This Row],[SALES TARGET]]</f>
        <v>389</v>
      </c>
      <c r="J36" s="152">
        <f>Product_Profit[[#This Row],[TARGET ANALYSIS]]/Product_Profit[[#This Row],[SALES TARGET]]</f>
        <v>0.20473684210526316</v>
      </c>
    </row>
    <row r="37" spans="1:10" x14ac:dyDescent="0.25">
      <c r="A37">
        <f>'Sales and Revenue'!$L$15</f>
        <v>2020</v>
      </c>
      <c r="B37" t="str">
        <f>'Sales and Revenue'!$D$40</f>
        <v>Gold Coast</v>
      </c>
      <c r="C37" t="str">
        <f t="shared" si="1"/>
        <v>Washing Machines</v>
      </c>
      <c r="D37">
        <f>'Sales and Revenue'!M17</f>
        <v>1134000</v>
      </c>
      <c r="E37">
        <f>COGS!M18</f>
        <v>960120</v>
      </c>
      <c r="F37">
        <f>Product_Profit[[#This Row],[SALES REVENUE]]-Product_Profit[[#This Row],[COGS]]</f>
        <v>173880</v>
      </c>
      <c r="G37">
        <f>'Sales Target &amp; Actual'!D15</f>
        <v>1600</v>
      </c>
      <c r="H37">
        <f>'Sales Target &amp; Actual'!J15</f>
        <v>1512</v>
      </c>
      <c r="I37">
        <f>Product_Profit[[#This Row],[ACTUAL SALES]]-Product_Profit[[#This Row],[SALES TARGET]]</f>
        <v>-88</v>
      </c>
      <c r="J37" s="152">
        <f>Product_Profit[[#This Row],[TARGET ANALYSIS]]/Product_Profit[[#This Row],[SALES TARGET]]</f>
        <v>-5.5E-2</v>
      </c>
    </row>
    <row r="38" spans="1:10" x14ac:dyDescent="0.25">
      <c r="A38">
        <f>'Sales and Revenue'!$L$15</f>
        <v>2020</v>
      </c>
      <c r="B38" t="str">
        <f>'Sales and Revenue'!$D$40</f>
        <v>Gold Coast</v>
      </c>
      <c r="C38" t="str">
        <f t="shared" si="1"/>
        <v>Fridges</v>
      </c>
      <c r="D38">
        <f>'Sales and Revenue'!M18</f>
        <v>1469000</v>
      </c>
      <c r="E38">
        <f>COGS!M19</f>
        <v>1243000</v>
      </c>
      <c r="F38">
        <f>Product_Profit[[#This Row],[SALES REVENUE]]-Product_Profit[[#This Row],[COGS]]</f>
        <v>226000</v>
      </c>
      <c r="G38">
        <f>'Sales Target &amp; Actual'!D16</f>
        <v>2300</v>
      </c>
      <c r="H38">
        <f>'Sales Target &amp; Actual'!J16</f>
        <v>2260</v>
      </c>
      <c r="I38">
        <f>Product_Profit[[#This Row],[ACTUAL SALES]]-Product_Profit[[#This Row],[SALES TARGET]]</f>
        <v>-40</v>
      </c>
      <c r="J38" s="152">
        <f>Product_Profit[[#This Row],[TARGET ANALYSIS]]/Product_Profit[[#This Row],[SALES TARGET]]</f>
        <v>-1.7391304347826087E-2</v>
      </c>
    </row>
    <row r="39" spans="1:10" x14ac:dyDescent="0.25">
      <c r="A39">
        <f>'Sales and Revenue'!$L$15</f>
        <v>2020</v>
      </c>
      <c r="B39" t="str">
        <f>'Sales and Revenue'!$D$40</f>
        <v>Gold Coast</v>
      </c>
      <c r="C39" t="str">
        <f t="shared" si="1"/>
        <v>Computers and Tablets</v>
      </c>
      <c r="D39">
        <f>'Sales and Revenue'!M19</f>
        <v>577150</v>
      </c>
      <c r="E39">
        <f>COGS!M20</f>
        <v>448140</v>
      </c>
      <c r="F39">
        <f>Product_Profit[[#This Row],[SALES REVENUE]]-Product_Profit[[#This Row],[COGS]]</f>
        <v>129010</v>
      </c>
      <c r="G39">
        <f>'Sales Target &amp; Actual'!D17</f>
        <v>700</v>
      </c>
      <c r="H39">
        <f>'Sales Target &amp; Actual'!J17</f>
        <v>679</v>
      </c>
      <c r="I39">
        <f>Product_Profit[[#This Row],[ACTUAL SALES]]-Product_Profit[[#This Row],[SALES TARGET]]</f>
        <v>-21</v>
      </c>
      <c r="J39" s="152">
        <f>Product_Profit[[#This Row],[TARGET ANALYSIS]]/Product_Profit[[#This Row],[SALES TARGET]]</f>
        <v>-0.03</v>
      </c>
    </row>
    <row r="40" spans="1:10" x14ac:dyDescent="0.25">
      <c r="A40">
        <f>'Sales and Revenue'!$L$15</f>
        <v>2020</v>
      </c>
      <c r="B40" t="str">
        <f>'Sales and Revenue'!$D$40</f>
        <v>Gold Coast</v>
      </c>
      <c r="C40" t="str">
        <f t="shared" si="1"/>
        <v>Microwaves</v>
      </c>
      <c r="D40">
        <f>'Sales and Revenue'!M20</f>
        <v>770800</v>
      </c>
      <c r="E40">
        <f>COGS!M21</f>
        <v>578100</v>
      </c>
      <c r="F40">
        <f>Product_Profit[[#This Row],[SALES REVENUE]]-Product_Profit[[#This Row],[COGS]]</f>
        <v>192700</v>
      </c>
      <c r="G40">
        <f>'Sales Target &amp; Actual'!D18</f>
        <v>1900</v>
      </c>
      <c r="H40">
        <f>'Sales Target &amp; Actual'!J18</f>
        <v>1927</v>
      </c>
      <c r="I40">
        <f>Product_Profit[[#This Row],[ACTUAL SALES]]-Product_Profit[[#This Row],[SALES TARGET]]</f>
        <v>27</v>
      </c>
      <c r="J40" s="152">
        <f>Product_Profit[[#This Row],[TARGET ANALYSIS]]/Product_Profit[[#This Row],[SALES TARGET]]</f>
        <v>1.4210526315789474E-2</v>
      </c>
    </row>
    <row r="41" spans="1:10" x14ac:dyDescent="0.25">
      <c r="A41">
        <f>'Sales and Revenue'!$L$15</f>
        <v>2020</v>
      </c>
      <c r="B41" t="str">
        <f>'Sales and Revenue'!$D$40</f>
        <v>Gold Coast</v>
      </c>
      <c r="C41" t="str">
        <f t="shared" si="1"/>
        <v>TVs</v>
      </c>
      <c r="D41">
        <f>'Sales and Revenue'!M21</f>
        <v>739900</v>
      </c>
      <c r="E41">
        <f>COGS!M22</f>
        <v>517930</v>
      </c>
      <c r="F41">
        <f>Product_Profit[[#This Row],[SALES REVENUE]]-Product_Profit[[#This Row],[COGS]]</f>
        <v>221970</v>
      </c>
      <c r="G41">
        <f>'Sales Target &amp; Actual'!D19</f>
        <v>1100</v>
      </c>
      <c r="H41">
        <f>'Sales Target &amp; Actual'!J19</f>
        <v>1057</v>
      </c>
      <c r="I41">
        <f>Product_Profit[[#This Row],[ACTUAL SALES]]-Product_Profit[[#This Row],[SALES TARGET]]</f>
        <v>-43</v>
      </c>
      <c r="J41" s="152">
        <f>Product_Profit[[#This Row],[TARGET ANALYSIS]]/Product_Profit[[#This Row],[SALES TARGET]]</f>
        <v>-3.9090909090909093E-2</v>
      </c>
    </row>
    <row r="42" spans="1:10" x14ac:dyDescent="0.25">
      <c r="A42">
        <f>'Sales and Revenue'!$L$15</f>
        <v>2020</v>
      </c>
      <c r="B42" t="str">
        <f>'Sales and Revenue'!$D$40</f>
        <v>Gold Coast</v>
      </c>
      <c r="C42" t="str">
        <f t="shared" si="1"/>
        <v>Mobile Phones</v>
      </c>
      <c r="D42">
        <f>'Sales and Revenue'!M22</f>
        <v>1263200</v>
      </c>
      <c r="E42">
        <f>COGS!M23</f>
        <v>852660</v>
      </c>
      <c r="F42">
        <f>Product_Profit[[#This Row],[SALES REVENUE]]-Product_Profit[[#This Row],[COGS]]</f>
        <v>410540</v>
      </c>
      <c r="G42">
        <f>'Sales Target &amp; Actual'!D20</f>
        <v>1600</v>
      </c>
      <c r="H42">
        <f>'Sales Target &amp; Actual'!J20</f>
        <v>1579</v>
      </c>
      <c r="I42">
        <f>Product_Profit[[#This Row],[ACTUAL SALES]]-Product_Profit[[#This Row],[SALES TARGET]]</f>
        <v>-21</v>
      </c>
      <c r="J42" s="152">
        <f>Product_Profit[[#This Row],[TARGET ANALYSIS]]/Product_Profit[[#This Row],[SALES TARGET]]</f>
        <v>-1.3125E-2</v>
      </c>
    </row>
    <row r="43" spans="1:10" x14ac:dyDescent="0.25">
      <c r="A43">
        <f>'Sales and Revenue'!$L$15</f>
        <v>2020</v>
      </c>
      <c r="B43" t="str">
        <f>'Sales and Revenue'!$D$40</f>
        <v>Gold Coast</v>
      </c>
      <c r="C43" t="str">
        <f t="shared" si="1"/>
        <v>Games and Consoles</v>
      </c>
      <c r="D43">
        <f>'Sales and Revenue'!M23</f>
        <v>750720</v>
      </c>
      <c r="E43">
        <f>COGS!M24</f>
        <v>531760</v>
      </c>
      <c r="F43">
        <f>Product_Profit[[#This Row],[SALES REVENUE]]-Product_Profit[[#This Row],[COGS]]</f>
        <v>218960</v>
      </c>
      <c r="G43">
        <f>'Sales Target &amp; Actual'!D21</f>
        <v>1500</v>
      </c>
      <c r="H43">
        <f>'Sales Target &amp; Actual'!J21</f>
        <v>1564</v>
      </c>
      <c r="I43">
        <f>Product_Profit[[#This Row],[ACTUAL SALES]]-Product_Profit[[#This Row],[SALES TARGET]]</f>
        <v>64</v>
      </c>
      <c r="J43" s="152">
        <f>Product_Profit[[#This Row],[TARGET ANALYSIS]]/Product_Profit[[#This Row],[SALES TARGET]]</f>
        <v>4.2666666666666665E-2</v>
      </c>
    </row>
    <row r="44" spans="1:10" x14ac:dyDescent="0.25">
      <c r="A44">
        <f>'Sales and Revenue'!$L$15</f>
        <v>2020</v>
      </c>
      <c r="B44" t="str">
        <f>'Sales and Revenue'!$E$40</f>
        <v>Townsville</v>
      </c>
      <c r="C44" t="str">
        <f t="shared" si="1"/>
        <v>Washing Machines</v>
      </c>
      <c r="D44">
        <f>'Sales and Revenue'!N17</f>
        <v>837000</v>
      </c>
      <c r="E44">
        <f>COGS!N18</f>
        <v>708660</v>
      </c>
      <c r="F44">
        <f>Product_Profit[[#This Row],[SALES REVENUE]]-Product_Profit[[#This Row],[COGS]]</f>
        <v>128340</v>
      </c>
      <c r="G44">
        <f>'Sales Target &amp; Actual'!E15</f>
        <v>1100</v>
      </c>
      <c r="H44">
        <f>'Sales Target &amp; Actual'!K15</f>
        <v>1116</v>
      </c>
      <c r="I44">
        <f>Product_Profit[[#This Row],[ACTUAL SALES]]-Product_Profit[[#This Row],[SALES TARGET]]</f>
        <v>16</v>
      </c>
      <c r="J44" s="152">
        <f>Product_Profit[[#This Row],[TARGET ANALYSIS]]/Product_Profit[[#This Row],[SALES TARGET]]</f>
        <v>1.4545454545454545E-2</v>
      </c>
    </row>
    <row r="45" spans="1:10" x14ac:dyDescent="0.25">
      <c r="A45">
        <f>'Sales and Revenue'!$L$15</f>
        <v>2020</v>
      </c>
      <c r="B45" t="str">
        <f>'Sales and Revenue'!$E$40</f>
        <v>Townsville</v>
      </c>
      <c r="C45" t="str">
        <f t="shared" si="1"/>
        <v>Fridges</v>
      </c>
      <c r="D45">
        <f>'Sales and Revenue'!N18</f>
        <v>1111500</v>
      </c>
      <c r="E45">
        <f>COGS!N19</f>
        <v>940500</v>
      </c>
      <c r="F45">
        <f>Product_Profit[[#This Row],[SALES REVENUE]]-Product_Profit[[#This Row],[COGS]]</f>
        <v>171000</v>
      </c>
      <c r="G45">
        <f>'Sales Target &amp; Actual'!E16</f>
        <v>1600</v>
      </c>
      <c r="H45">
        <f>'Sales Target &amp; Actual'!K16</f>
        <v>1710</v>
      </c>
      <c r="I45">
        <f>Product_Profit[[#This Row],[ACTUAL SALES]]-Product_Profit[[#This Row],[SALES TARGET]]</f>
        <v>110</v>
      </c>
      <c r="J45" s="152">
        <f>Product_Profit[[#This Row],[TARGET ANALYSIS]]/Product_Profit[[#This Row],[SALES TARGET]]</f>
        <v>6.8750000000000006E-2</v>
      </c>
    </row>
    <row r="46" spans="1:10" x14ac:dyDescent="0.25">
      <c r="A46">
        <f>'Sales and Revenue'!$L$15</f>
        <v>2020</v>
      </c>
      <c r="B46" t="str">
        <f>'Sales and Revenue'!$E$40</f>
        <v>Townsville</v>
      </c>
      <c r="C46" t="str">
        <f t="shared" si="1"/>
        <v>Computers and Tablets</v>
      </c>
      <c r="D46">
        <f>'Sales and Revenue'!N19</f>
        <v>500650</v>
      </c>
      <c r="E46">
        <f>COGS!N20</f>
        <v>388740</v>
      </c>
      <c r="F46">
        <f>Product_Profit[[#This Row],[SALES REVENUE]]-Product_Profit[[#This Row],[COGS]]</f>
        <v>111910</v>
      </c>
      <c r="G46">
        <f>'Sales Target &amp; Actual'!E17</f>
        <v>500</v>
      </c>
      <c r="H46">
        <f>'Sales Target &amp; Actual'!K17</f>
        <v>589</v>
      </c>
      <c r="I46">
        <f>Product_Profit[[#This Row],[ACTUAL SALES]]-Product_Profit[[#This Row],[SALES TARGET]]</f>
        <v>89</v>
      </c>
      <c r="J46" s="152">
        <f>Product_Profit[[#This Row],[TARGET ANALYSIS]]/Product_Profit[[#This Row],[SALES TARGET]]</f>
        <v>0.17799999999999999</v>
      </c>
    </row>
    <row r="47" spans="1:10" x14ac:dyDescent="0.25">
      <c r="A47">
        <f>'Sales and Revenue'!$L$15</f>
        <v>2020</v>
      </c>
      <c r="B47" t="str">
        <f>'Sales and Revenue'!$E$40</f>
        <v>Townsville</v>
      </c>
      <c r="C47" t="str">
        <f t="shared" si="1"/>
        <v>Microwaves</v>
      </c>
      <c r="D47">
        <f>'Sales and Revenue'!N20</f>
        <v>524000</v>
      </c>
      <c r="E47">
        <f>COGS!N21</f>
        <v>393000</v>
      </c>
      <c r="F47">
        <f>Product_Profit[[#This Row],[SALES REVENUE]]-Product_Profit[[#This Row],[COGS]]</f>
        <v>131000</v>
      </c>
      <c r="G47">
        <f>'Sales Target &amp; Actual'!E18</f>
        <v>1300</v>
      </c>
      <c r="H47">
        <f>'Sales Target &amp; Actual'!K18</f>
        <v>1310</v>
      </c>
      <c r="I47">
        <f>Product_Profit[[#This Row],[ACTUAL SALES]]-Product_Profit[[#This Row],[SALES TARGET]]</f>
        <v>10</v>
      </c>
      <c r="J47" s="152">
        <f>Product_Profit[[#This Row],[TARGET ANALYSIS]]/Product_Profit[[#This Row],[SALES TARGET]]</f>
        <v>7.6923076923076927E-3</v>
      </c>
    </row>
    <row r="48" spans="1:10" x14ac:dyDescent="0.25">
      <c r="A48">
        <f>'Sales and Revenue'!$L$15</f>
        <v>2020</v>
      </c>
      <c r="B48" t="str">
        <f>'Sales and Revenue'!$E$40</f>
        <v>Townsville</v>
      </c>
      <c r="C48" t="str">
        <f t="shared" si="1"/>
        <v>TVs</v>
      </c>
      <c r="D48">
        <f>'Sales and Revenue'!N21</f>
        <v>537600</v>
      </c>
      <c r="E48">
        <f>COGS!N22</f>
        <v>376320</v>
      </c>
      <c r="F48">
        <f>Product_Profit[[#This Row],[SALES REVENUE]]-Product_Profit[[#This Row],[COGS]]</f>
        <v>161280</v>
      </c>
      <c r="G48">
        <f>'Sales Target &amp; Actual'!E19</f>
        <v>800</v>
      </c>
      <c r="H48">
        <f>'Sales Target &amp; Actual'!K19</f>
        <v>768</v>
      </c>
      <c r="I48">
        <f>Product_Profit[[#This Row],[ACTUAL SALES]]-Product_Profit[[#This Row],[SALES TARGET]]</f>
        <v>-32</v>
      </c>
      <c r="J48" s="152">
        <f>Product_Profit[[#This Row],[TARGET ANALYSIS]]/Product_Profit[[#This Row],[SALES TARGET]]</f>
        <v>-0.04</v>
      </c>
    </row>
    <row r="49" spans="1:10" x14ac:dyDescent="0.25">
      <c r="A49">
        <f>'Sales and Revenue'!$L$15</f>
        <v>2020</v>
      </c>
      <c r="B49" t="str">
        <f>'Sales and Revenue'!$E$40</f>
        <v>Townsville</v>
      </c>
      <c r="C49" t="str">
        <f t="shared" si="1"/>
        <v>Mobile Phones</v>
      </c>
      <c r="D49">
        <f>'Sales and Revenue'!N22</f>
        <v>960000</v>
      </c>
      <c r="E49">
        <f>COGS!N23</f>
        <v>648000</v>
      </c>
      <c r="F49">
        <f>Product_Profit[[#This Row],[SALES REVENUE]]-Product_Profit[[#This Row],[COGS]]</f>
        <v>312000</v>
      </c>
      <c r="G49">
        <f>'Sales Target &amp; Actual'!E20</f>
        <v>1100</v>
      </c>
      <c r="H49">
        <f>'Sales Target &amp; Actual'!K20</f>
        <v>1200</v>
      </c>
      <c r="I49">
        <f>Product_Profit[[#This Row],[ACTUAL SALES]]-Product_Profit[[#This Row],[SALES TARGET]]</f>
        <v>100</v>
      </c>
      <c r="J49" s="152">
        <f>Product_Profit[[#This Row],[TARGET ANALYSIS]]/Product_Profit[[#This Row],[SALES TARGET]]</f>
        <v>9.0909090909090912E-2</v>
      </c>
    </row>
    <row r="50" spans="1:10" x14ac:dyDescent="0.25">
      <c r="A50">
        <f>'Sales and Revenue'!$L$15</f>
        <v>2020</v>
      </c>
      <c r="B50" t="str">
        <f>'Sales and Revenue'!$E$40</f>
        <v>Townsville</v>
      </c>
      <c r="C50" t="str">
        <f t="shared" si="1"/>
        <v>Games and Consoles</v>
      </c>
      <c r="D50">
        <f>'Sales and Revenue'!N23</f>
        <v>576480</v>
      </c>
      <c r="E50">
        <f>COGS!N24</f>
        <v>408340</v>
      </c>
      <c r="F50">
        <f>Product_Profit[[#This Row],[SALES REVENUE]]-Product_Profit[[#This Row],[COGS]]</f>
        <v>168140</v>
      </c>
      <c r="G50">
        <f>'Sales Target &amp; Actual'!E21</f>
        <v>1100</v>
      </c>
      <c r="H50">
        <f>'Sales Target &amp; Actual'!K21</f>
        <v>1201</v>
      </c>
      <c r="I50">
        <f>Product_Profit[[#This Row],[ACTUAL SALES]]-Product_Profit[[#This Row],[SALES TARGET]]</f>
        <v>101</v>
      </c>
      <c r="J50" s="152">
        <f>Product_Profit[[#This Row],[TARGET ANALYSIS]]/Product_Profit[[#This Row],[SALES TARGET]]</f>
        <v>9.1818181818181813E-2</v>
      </c>
    </row>
    <row r="51" spans="1:10" x14ac:dyDescent="0.25">
      <c r="A51">
        <f>'Sales and Revenue'!$L$15</f>
        <v>2020</v>
      </c>
      <c r="B51" t="str">
        <f>'Sales and Revenue'!$F$40</f>
        <v>Cairns</v>
      </c>
      <c r="C51" t="str">
        <f t="shared" si="1"/>
        <v>Washing Machines</v>
      </c>
      <c r="D51">
        <f>'Sales and Revenue'!O17</f>
        <v>804750</v>
      </c>
      <c r="E51">
        <f>COGS!N18</f>
        <v>708660</v>
      </c>
      <c r="F51">
        <f>Product_Profit[[#This Row],[SALES REVENUE]]-Product_Profit[[#This Row],[COGS]]</f>
        <v>96090</v>
      </c>
      <c r="G51">
        <f>'Sales Target &amp; Actual'!F15</f>
        <v>900</v>
      </c>
      <c r="H51">
        <f>'Sales Target &amp; Actual'!L15</f>
        <v>1073</v>
      </c>
      <c r="I51">
        <f>Product_Profit[[#This Row],[ACTUAL SALES]]-Product_Profit[[#This Row],[SALES TARGET]]</f>
        <v>173</v>
      </c>
      <c r="J51" s="152">
        <f>Product_Profit[[#This Row],[TARGET ANALYSIS]]/Product_Profit[[#This Row],[SALES TARGET]]</f>
        <v>0.19222222222222221</v>
      </c>
    </row>
    <row r="52" spans="1:10" x14ac:dyDescent="0.25">
      <c r="A52">
        <f>'Sales and Revenue'!$L$15</f>
        <v>2020</v>
      </c>
      <c r="B52" t="str">
        <f>'Sales and Revenue'!$F$40</f>
        <v>Cairns</v>
      </c>
      <c r="C52" t="str">
        <f t="shared" si="1"/>
        <v>Fridges</v>
      </c>
      <c r="D52">
        <f>'Sales and Revenue'!O18</f>
        <v>945750</v>
      </c>
      <c r="E52">
        <f>COGS!N19</f>
        <v>940500</v>
      </c>
      <c r="F52">
        <f>Product_Profit[[#This Row],[SALES REVENUE]]-Product_Profit[[#This Row],[COGS]]</f>
        <v>5250</v>
      </c>
      <c r="G52">
        <f>'Sales Target &amp; Actual'!F16</f>
        <v>1300</v>
      </c>
      <c r="H52">
        <f>'Sales Target &amp; Actual'!L16</f>
        <v>1455</v>
      </c>
      <c r="I52">
        <f>Product_Profit[[#This Row],[ACTUAL SALES]]-Product_Profit[[#This Row],[SALES TARGET]]</f>
        <v>155</v>
      </c>
      <c r="J52" s="152">
        <f>Product_Profit[[#This Row],[TARGET ANALYSIS]]/Product_Profit[[#This Row],[SALES TARGET]]</f>
        <v>0.11923076923076924</v>
      </c>
    </row>
    <row r="53" spans="1:10" x14ac:dyDescent="0.25">
      <c r="A53">
        <f>'Sales and Revenue'!$L$15</f>
        <v>2020</v>
      </c>
      <c r="B53" t="str">
        <f>'Sales and Revenue'!$F$40</f>
        <v>Cairns</v>
      </c>
      <c r="C53" t="str">
        <f t="shared" si="1"/>
        <v>Computers and Tablets</v>
      </c>
      <c r="D53">
        <f>'Sales and Revenue'!O19</f>
        <v>510850</v>
      </c>
      <c r="E53">
        <f>COGS!N20</f>
        <v>388740</v>
      </c>
      <c r="F53">
        <f>Product_Profit[[#This Row],[SALES REVENUE]]-Product_Profit[[#This Row],[COGS]]</f>
        <v>122110</v>
      </c>
      <c r="G53">
        <f>'Sales Target &amp; Actual'!F17</f>
        <v>400</v>
      </c>
      <c r="H53">
        <f>'Sales Target &amp; Actual'!L17</f>
        <v>601</v>
      </c>
      <c r="I53">
        <f>Product_Profit[[#This Row],[ACTUAL SALES]]-Product_Profit[[#This Row],[SALES TARGET]]</f>
        <v>201</v>
      </c>
      <c r="J53" s="152">
        <f>Product_Profit[[#This Row],[TARGET ANALYSIS]]/Product_Profit[[#This Row],[SALES TARGET]]</f>
        <v>0.50249999999999995</v>
      </c>
    </row>
    <row r="54" spans="1:10" x14ac:dyDescent="0.25">
      <c r="A54">
        <f>'Sales and Revenue'!$L$15</f>
        <v>2020</v>
      </c>
      <c r="B54" t="str">
        <f>'Sales and Revenue'!$F$40</f>
        <v>Cairns</v>
      </c>
      <c r="C54" t="str">
        <f t="shared" si="1"/>
        <v>Microwaves</v>
      </c>
      <c r="D54">
        <f>'Sales and Revenue'!O20</f>
        <v>426400</v>
      </c>
      <c r="E54">
        <f>COGS!N21</f>
        <v>393000</v>
      </c>
      <c r="F54">
        <f>Product_Profit[[#This Row],[SALES REVENUE]]-Product_Profit[[#This Row],[COGS]]</f>
        <v>33400</v>
      </c>
      <c r="G54">
        <f>'Sales Target &amp; Actual'!F18</f>
        <v>1000</v>
      </c>
      <c r="H54">
        <f>'Sales Target &amp; Actual'!L18</f>
        <v>1066</v>
      </c>
      <c r="I54">
        <f>Product_Profit[[#This Row],[ACTUAL SALES]]-Product_Profit[[#This Row],[SALES TARGET]]</f>
        <v>66</v>
      </c>
      <c r="J54" s="152">
        <f>Product_Profit[[#This Row],[TARGET ANALYSIS]]/Product_Profit[[#This Row],[SALES TARGET]]</f>
        <v>6.6000000000000003E-2</v>
      </c>
    </row>
    <row r="55" spans="1:10" x14ac:dyDescent="0.25">
      <c r="A55">
        <f>'Sales and Revenue'!$L$15</f>
        <v>2020</v>
      </c>
      <c r="B55" t="str">
        <f>'Sales and Revenue'!$F$40</f>
        <v>Cairns</v>
      </c>
      <c r="C55" t="str">
        <f t="shared" si="1"/>
        <v>TVs</v>
      </c>
      <c r="D55">
        <f>'Sales and Revenue'!O21</f>
        <v>545300</v>
      </c>
      <c r="E55">
        <f>COGS!N22</f>
        <v>376320</v>
      </c>
      <c r="F55">
        <f>Product_Profit[[#This Row],[SALES REVENUE]]-Product_Profit[[#This Row],[COGS]]</f>
        <v>168980</v>
      </c>
      <c r="G55">
        <f>'Sales Target &amp; Actual'!F19</f>
        <v>600</v>
      </c>
      <c r="H55">
        <f>'Sales Target &amp; Actual'!L19</f>
        <v>779</v>
      </c>
      <c r="I55">
        <f>Product_Profit[[#This Row],[ACTUAL SALES]]-Product_Profit[[#This Row],[SALES TARGET]]</f>
        <v>179</v>
      </c>
      <c r="J55" s="152">
        <f>Product_Profit[[#This Row],[TARGET ANALYSIS]]/Product_Profit[[#This Row],[SALES TARGET]]</f>
        <v>0.29833333333333334</v>
      </c>
    </row>
    <row r="56" spans="1:10" x14ac:dyDescent="0.25">
      <c r="A56">
        <f>'Sales and Revenue'!$L$15</f>
        <v>2020</v>
      </c>
      <c r="B56" t="str">
        <f>'Sales and Revenue'!$F$40</f>
        <v>Cairns</v>
      </c>
      <c r="C56" t="str">
        <f t="shared" si="1"/>
        <v>Mobile Phones</v>
      </c>
      <c r="D56">
        <f>'Sales and Revenue'!O22</f>
        <v>898400</v>
      </c>
      <c r="E56">
        <f>COGS!N23</f>
        <v>648000</v>
      </c>
      <c r="F56">
        <f>Product_Profit[[#This Row],[SALES REVENUE]]-Product_Profit[[#This Row],[COGS]]</f>
        <v>250400</v>
      </c>
      <c r="G56">
        <f>'Sales Target &amp; Actual'!F20</f>
        <v>900</v>
      </c>
      <c r="H56">
        <f>'Sales Target &amp; Actual'!L20</f>
        <v>1123</v>
      </c>
      <c r="I56">
        <f>Product_Profit[[#This Row],[ACTUAL SALES]]-Product_Profit[[#This Row],[SALES TARGET]]</f>
        <v>223</v>
      </c>
      <c r="J56" s="152">
        <f>Product_Profit[[#This Row],[TARGET ANALYSIS]]/Product_Profit[[#This Row],[SALES TARGET]]</f>
        <v>0.24777777777777779</v>
      </c>
    </row>
    <row r="57" spans="1:10" x14ac:dyDescent="0.25">
      <c r="A57">
        <f>'Sales and Revenue'!$L$15</f>
        <v>2020</v>
      </c>
      <c r="B57" t="str">
        <f>'Sales and Revenue'!$F$40</f>
        <v>Cairns</v>
      </c>
      <c r="C57" t="str">
        <f t="shared" si="1"/>
        <v>Games and Consoles</v>
      </c>
      <c r="D57">
        <f>'Sales and Revenue'!O23</f>
        <v>424320</v>
      </c>
      <c r="E57">
        <f>COGS!N24</f>
        <v>408340</v>
      </c>
      <c r="F57">
        <f>Product_Profit[[#This Row],[SALES REVENUE]]-Product_Profit[[#This Row],[COGS]]</f>
        <v>15980</v>
      </c>
      <c r="G57">
        <f>'Sales Target &amp; Actual'!F21</f>
        <v>800</v>
      </c>
      <c r="H57">
        <f>'Sales Target &amp; Actual'!L21</f>
        <v>884</v>
      </c>
      <c r="I57">
        <f>Product_Profit[[#This Row],[ACTUAL SALES]]-Product_Profit[[#This Row],[SALES TARGET]]</f>
        <v>84</v>
      </c>
      <c r="J57" s="152">
        <f>Product_Profit[[#This Row],[TARGET ANALYSIS]]/Product_Profit[[#This Row],[SALES TARGET]]</f>
        <v>0.105</v>
      </c>
    </row>
    <row r="58" spans="1:10" x14ac:dyDescent="0.25">
      <c r="A58">
        <f>'Sales and Revenue'!$L$27</f>
        <v>2021</v>
      </c>
      <c r="B58" t="str">
        <f>'Sales and Revenue'!$C$40</f>
        <v>Brisbane</v>
      </c>
      <c r="C58" t="str">
        <f>C30</f>
        <v>Washing Machines</v>
      </c>
      <c r="D58">
        <f>'Sales and Revenue'!L29</f>
        <v>1797000</v>
      </c>
      <c r="E58">
        <f>COGS!L30</f>
        <v>1521460</v>
      </c>
      <c r="F58">
        <f>Product_Profit[[#This Row],[SALES REVENUE]]-Product_Profit[[#This Row],[COGS]]</f>
        <v>275540</v>
      </c>
      <c r="G58">
        <f>'Sales Target &amp; Actual'!C26</f>
        <v>2140</v>
      </c>
      <c r="H58">
        <f>'Sales Target &amp; Actual'!I26</f>
        <v>2396</v>
      </c>
      <c r="I58">
        <f>Product_Profit[[#This Row],[ACTUAL SALES]]-Product_Profit[[#This Row],[SALES TARGET]]</f>
        <v>256</v>
      </c>
      <c r="J58" s="152">
        <f>Product_Profit[[#This Row],[TARGET ANALYSIS]]/Product_Profit[[#This Row],[SALES TARGET]]</f>
        <v>0.11962616822429907</v>
      </c>
    </row>
    <row r="59" spans="1:10" x14ac:dyDescent="0.25">
      <c r="A59">
        <f>'Sales and Revenue'!$L$27</f>
        <v>2021</v>
      </c>
      <c r="B59" t="str">
        <f>'Sales and Revenue'!$C$40</f>
        <v>Brisbane</v>
      </c>
      <c r="C59" t="str">
        <f t="shared" si="1"/>
        <v>Fridges</v>
      </c>
      <c r="D59">
        <f>'Sales and Revenue'!L30</f>
        <v>2352350</v>
      </c>
      <c r="E59">
        <f>COGS!L31</f>
        <v>1990450</v>
      </c>
      <c r="F59">
        <f>Product_Profit[[#This Row],[SALES REVENUE]]-Product_Profit[[#This Row],[COGS]]</f>
        <v>361900</v>
      </c>
      <c r="G59">
        <f>'Sales Target &amp; Actual'!C27</f>
        <v>3210</v>
      </c>
      <c r="H59">
        <f>'Sales Target &amp; Actual'!I27</f>
        <v>3619</v>
      </c>
      <c r="I59">
        <f>Product_Profit[[#This Row],[ACTUAL SALES]]-Product_Profit[[#This Row],[SALES TARGET]]</f>
        <v>409</v>
      </c>
      <c r="J59" s="152">
        <f>Product_Profit[[#This Row],[TARGET ANALYSIS]]/Product_Profit[[#This Row],[SALES TARGET]]</f>
        <v>0.12741433021806853</v>
      </c>
    </row>
    <row r="60" spans="1:10" x14ac:dyDescent="0.25">
      <c r="A60">
        <f>'Sales and Revenue'!$L$27</f>
        <v>2021</v>
      </c>
      <c r="B60" t="str">
        <f>'Sales and Revenue'!$C$40</f>
        <v>Brisbane</v>
      </c>
      <c r="C60" t="str">
        <f t="shared" si="1"/>
        <v>Computers and Tablets</v>
      </c>
      <c r="D60">
        <f>'Sales and Revenue'!L31</f>
        <v>746300</v>
      </c>
      <c r="E60">
        <f>COGS!L32</f>
        <v>579480</v>
      </c>
      <c r="F60">
        <f>Product_Profit[[#This Row],[SALES REVENUE]]-Product_Profit[[#This Row],[COGS]]</f>
        <v>166820</v>
      </c>
      <c r="G60">
        <f>'Sales Target &amp; Actual'!C28</f>
        <v>856</v>
      </c>
      <c r="H60">
        <f>'Sales Target &amp; Actual'!I28</f>
        <v>878</v>
      </c>
      <c r="I60">
        <f>Product_Profit[[#This Row],[ACTUAL SALES]]-Product_Profit[[#This Row],[SALES TARGET]]</f>
        <v>22</v>
      </c>
      <c r="J60" s="152">
        <f>Product_Profit[[#This Row],[TARGET ANALYSIS]]/Product_Profit[[#This Row],[SALES TARGET]]</f>
        <v>2.5700934579439252E-2</v>
      </c>
    </row>
    <row r="61" spans="1:10" x14ac:dyDescent="0.25">
      <c r="A61">
        <f>'Sales and Revenue'!$L$27</f>
        <v>2021</v>
      </c>
      <c r="B61" t="str">
        <f>'Sales and Revenue'!$C$40</f>
        <v>Brisbane</v>
      </c>
      <c r="C61" t="str">
        <f t="shared" si="1"/>
        <v>Microwaves</v>
      </c>
      <c r="D61">
        <f>'Sales and Revenue'!L32</f>
        <v>1062400</v>
      </c>
      <c r="E61">
        <f>COGS!L33</f>
        <v>796800</v>
      </c>
      <c r="F61">
        <f>Product_Profit[[#This Row],[SALES REVENUE]]-Product_Profit[[#This Row],[COGS]]</f>
        <v>265600</v>
      </c>
      <c r="G61">
        <f>'Sales Target &amp; Actual'!C29</f>
        <v>2568</v>
      </c>
      <c r="H61">
        <f>'Sales Target &amp; Actual'!I29</f>
        <v>2656</v>
      </c>
      <c r="I61">
        <f>Product_Profit[[#This Row],[ACTUAL SALES]]-Product_Profit[[#This Row],[SALES TARGET]]</f>
        <v>88</v>
      </c>
      <c r="J61" s="152">
        <f>Product_Profit[[#This Row],[TARGET ANALYSIS]]/Product_Profit[[#This Row],[SALES TARGET]]</f>
        <v>3.4267912772585667E-2</v>
      </c>
    </row>
    <row r="62" spans="1:10" x14ac:dyDescent="0.25">
      <c r="A62">
        <f>'Sales and Revenue'!$L$27</f>
        <v>2021</v>
      </c>
      <c r="B62" t="str">
        <f>'Sales and Revenue'!$C$40</f>
        <v>Brisbane</v>
      </c>
      <c r="C62" t="str">
        <f t="shared" si="1"/>
        <v>TVs</v>
      </c>
      <c r="D62">
        <f>'Sales and Revenue'!L33</f>
        <v>1285900</v>
      </c>
      <c r="E62">
        <f>COGS!L34</f>
        <v>900130</v>
      </c>
      <c r="F62">
        <f>Product_Profit[[#This Row],[SALES REVENUE]]-Product_Profit[[#This Row],[COGS]]</f>
        <v>385770</v>
      </c>
      <c r="G62">
        <f>'Sales Target &amp; Actual'!C30</f>
        <v>1498</v>
      </c>
      <c r="H62">
        <f>'Sales Target &amp; Actual'!I30</f>
        <v>1837</v>
      </c>
      <c r="I62">
        <f>Product_Profit[[#This Row],[ACTUAL SALES]]-Product_Profit[[#This Row],[SALES TARGET]]</f>
        <v>339</v>
      </c>
      <c r="J62" s="152">
        <f>Product_Profit[[#This Row],[TARGET ANALYSIS]]/Product_Profit[[#This Row],[SALES TARGET]]</f>
        <v>0.22630173564753003</v>
      </c>
    </row>
    <row r="63" spans="1:10" x14ac:dyDescent="0.25">
      <c r="A63">
        <f>'Sales and Revenue'!$L$27</f>
        <v>2021</v>
      </c>
      <c r="B63" t="str">
        <f>'Sales and Revenue'!$C$40</f>
        <v>Brisbane</v>
      </c>
      <c r="C63" t="str">
        <f t="shared" si="1"/>
        <v>Mobile Phones</v>
      </c>
      <c r="D63">
        <f>'Sales and Revenue'!L34</f>
        <v>2341600</v>
      </c>
      <c r="E63">
        <f>COGS!L35</f>
        <v>1580580</v>
      </c>
      <c r="F63">
        <f>Product_Profit[[#This Row],[SALES REVENUE]]-Product_Profit[[#This Row],[COGS]]</f>
        <v>761020</v>
      </c>
      <c r="G63">
        <f>'Sales Target &amp; Actual'!C31</f>
        <v>2140</v>
      </c>
      <c r="H63">
        <f>'Sales Target &amp; Actual'!I31</f>
        <v>2927</v>
      </c>
      <c r="I63">
        <f>Product_Profit[[#This Row],[ACTUAL SALES]]-Product_Profit[[#This Row],[SALES TARGET]]</f>
        <v>787</v>
      </c>
      <c r="J63" s="152">
        <f>Product_Profit[[#This Row],[TARGET ANALYSIS]]/Product_Profit[[#This Row],[SALES TARGET]]</f>
        <v>0.36775700934579442</v>
      </c>
    </row>
    <row r="64" spans="1:10" x14ac:dyDescent="0.25">
      <c r="A64">
        <f>'Sales and Revenue'!$L$27</f>
        <v>2021</v>
      </c>
      <c r="B64" t="str">
        <f>'Sales and Revenue'!$C$40</f>
        <v>Brisbane</v>
      </c>
      <c r="C64" t="str">
        <f t="shared" si="1"/>
        <v>Games and Consoles</v>
      </c>
      <c r="D64">
        <f>'Sales and Revenue'!L35</f>
        <v>1248000</v>
      </c>
      <c r="E64">
        <f>COGS!L36</f>
        <v>884000</v>
      </c>
      <c r="F64">
        <f>Product_Profit[[#This Row],[SALES REVENUE]]-Product_Profit[[#This Row],[COGS]]</f>
        <v>364000</v>
      </c>
      <c r="G64">
        <f>'Sales Target &amp; Actual'!C32</f>
        <v>2033</v>
      </c>
      <c r="H64">
        <f>'Sales Target &amp; Actual'!I32</f>
        <v>2600</v>
      </c>
      <c r="I64">
        <f>Product_Profit[[#This Row],[ACTUAL SALES]]-Product_Profit[[#This Row],[SALES TARGET]]</f>
        <v>567</v>
      </c>
      <c r="J64" s="152">
        <f>Product_Profit[[#This Row],[TARGET ANALYSIS]]/Product_Profit[[#This Row],[SALES TARGET]]</f>
        <v>0.27889818002951305</v>
      </c>
    </row>
    <row r="65" spans="1:10" x14ac:dyDescent="0.25">
      <c r="A65">
        <f>'Sales and Revenue'!$L$27</f>
        <v>2021</v>
      </c>
      <c r="B65" t="str">
        <f>'Sales and Revenue'!$D$40</f>
        <v>Gold Coast</v>
      </c>
      <c r="C65" t="str">
        <f t="shared" si="1"/>
        <v>Washing Machines</v>
      </c>
      <c r="D65">
        <f>'Sales and Revenue'!M29</f>
        <v>966000</v>
      </c>
      <c r="E65">
        <f>COGS!M30</f>
        <v>817880</v>
      </c>
      <c r="F65">
        <f>Product_Profit[[#This Row],[SALES REVENUE]]-Product_Profit[[#This Row],[COGS]]</f>
        <v>148120</v>
      </c>
      <c r="G65">
        <f>'Sales Target &amp; Actual'!D26</f>
        <v>1400</v>
      </c>
      <c r="H65">
        <f>'Sales Target &amp; Actual'!J26</f>
        <v>1288</v>
      </c>
      <c r="I65">
        <f>Product_Profit[[#This Row],[ACTUAL SALES]]-Product_Profit[[#This Row],[SALES TARGET]]</f>
        <v>-112</v>
      </c>
      <c r="J65" s="152">
        <f>Product_Profit[[#This Row],[TARGET ANALYSIS]]/Product_Profit[[#This Row],[SALES TARGET]]</f>
        <v>-0.08</v>
      </c>
    </row>
    <row r="66" spans="1:10" x14ac:dyDescent="0.25">
      <c r="A66">
        <f>'Sales and Revenue'!$L$27</f>
        <v>2021</v>
      </c>
      <c r="B66" t="str">
        <f>'Sales and Revenue'!$D$40</f>
        <v>Gold Coast</v>
      </c>
      <c r="C66" t="str">
        <f t="shared" si="1"/>
        <v>Fridges</v>
      </c>
      <c r="D66">
        <f>'Sales and Revenue'!M30</f>
        <v>1355900</v>
      </c>
      <c r="E66">
        <f>COGS!M31</f>
        <v>1147300</v>
      </c>
      <c r="F66">
        <f>Product_Profit[[#This Row],[SALES REVENUE]]-Product_Profit[[#This Row],[COGS]]</f>
        <v>208600</v>
      </c>
      <c r="G66">
        <f>'Sales Target &amp; Actual'!D27</f>
        <v>2100</v>
      </c>
      <c r="H66">
        <f>'Sales Target &amp; Actual'!J27</f>
        <v>2086</v>
      </c>
      <c r="I66">
        <f>Product_Profit[[#This Row],[ACTUAL SALES]]-Product_Profit[[#This Row],[SALES TARGET]]</f>
        <v>-14</v>
      </c>
      <c r="J66" s="152">
        <f>Product_Profit[[#This Row],[TARGET ANALYSIS]]/Product_Profit[[#This Row],[SALES TARGET]]</f>
        <v>-6.6666666666666671E-3</v>
      </c>
    </row>
    <row r="67" spans="1:10" x14ac:dyDescent="0.25">
      <c r="A67">
        <f>'Sales and Revenue'!$L$27</f>
        <v>2021</v>
      </c>
      <c r="B67" t="str">
        <f>'Sales and Revenue'!$D$40</f>
        <v>Gold Coast</v>
      </c>
      <c r="C67" t="str">
        <f t="shared" si="1"/>
        <v>Computers and Tablets</v>
      </c>
      <c r="D67">
        <f>'Sales and Revenue'!M31</f>
        <v>360400</v>
      </c>
      <c r="E67">
        <f>COGS!M32</f>
        <v>279840</v>
      </c>
      <c r="F67">
        <f>Product_Profit[[#This Row],[SALES REVENUE]]-Product_Profit[[#This Row],[COGS]]</f>
        <v>80560</v>
      </c>
      <c r="G67">
        <f>'Sales Target &amp; Actual'!D28</f>
        <v>600</v>
      </c>
      <c r="H67">
        <f>'Sales Target &amp; Actual'!J28</f>
        <v>424</v>
      </c>
      <c r="I67">
        <f>Product_Profit[[#This Row],[ACTUAL SALES]]-Product_Profit[[#This Row],[SALES TARGET]]</f>
        <v>-176</v>
      </c>
      <c r="J67" s="152">
        <f>Product_Profit[[#This Row],[TARGET ANALYSIS]]/Product_Profit[[#This Row],[SALES TARGET]]</f>
        <v>-0.29333333333333333</v>
      </c>
    </row>
    <row r="68" spans="1:10" x14ac:dyDescent="0.25">
      <c r="A68">
        <f>'Sales and Revenue'!$L$27</f>
        <v>2021</v>
      </c>
      <c r="B68" t="str">
        <f>'Sales and Revenue'!$D$40</f>
        <v>Gold Coast</v>
      </c>
      <c r="C68" t="str">
        <f t="shared" si="1"/>
        <v>Microwaves</v>
      </c>
      <c r="D68">
        <f>'Sales and Revenue'!M32</f>
        <v>656800</v>
      </c>
      <c r="E68">
        <f>COGS!M33</f>
        <v>492600</v>
      </c>
      <c r="F68">
        <f>Product_Profit[[#This Row],[SALES REVENUE]]-Product_Profit[[#This Row],[COGS]]</f>
        <v>164200</v>
      </c>
      <c r="G68">
        <f>'Sales Target &amp; Actual'!D29</f>
        <v>1700</v>
      </c>
      <c r="H68">
        <f>'Sales Target &amp; Actual'!J29</f>
        <v>1642</v>
      </c>
      <c r="I68">
        <f>Product_Profit[[#This Row],[ACTUAL SALES]]-Product_Profit[[#This Row],[SALES TARGET]]</f>
        <v>-58</v>
      </c>
      <c r="J68" s="152">
        <f>Product_Profit[[#This Row],[TARGET ANALYSIS]]/Product_Profit[[#This Row],[SALES TARGET]]</f>
        <v>-3.411764705882353E-2</v>
      </c>
    </row>
    <row r="69" spans="1:10" x14ac:dyDescent="0.25">
      <c r="A69">
        <f>'Sales and Revenue'!$L$27</f>
        <v>2021</v>
      </c>
      <c r="B69" t="str">
        <f>'Sales and Revenue'!$D$40</f>
        <v>Gold Coast</v>
      </c>
      <c r="C69" t="str">
        <f t="shared" si="1"/>
        <v>TVs</v>
      </c>
      <c r="D69">
        <f>'Sales and Revenue'!M33</f>
        <v>599200</v>
      </c>
      <c r="E69">
        <f>COGS!M34</f>
        <v>419440</v>
      </c>
      <c r="F69">
        <f>Product_Profit[[#This Row],[SALES REVENUE]]-Product_Profit[[#This Row],[COGS]]</f>
        <v>179760</v>
      </c>
      <c r="G69">
        <f>'Sales Target &amp; Actual'!D30</f>
        <v>1000</v>
      </c>
      <c r="H69">
        <f>'Sales Target &amp; Actual'!J30</f>
        <v>856</v>
      </c>
      <c r="I69">
        <f>Product_Profit[[#This Row],[ACTUAL SALES]]-Product_Profit[[#This Row],[SALES TARGET]]</f>
        <v>-144</v>
      </c>
      <c r="J69" s="152">
        <f>Product_Profit[[#This Row],[TARGET ANALYSIS]]/Product_Profit[[#This Row],[SALES TARGET]]</f>
        <v>-0.14399999999999999</v>
      </c>
    </row>
    <row r="70" spans="1:10" x14ac:dyDescent="0.25">
      <c r="A70">
        <f>'Sales and Revenue'!$L$27</f>
        <v>2021</v>
      </c>
      <c r="B70" t="str">
        <f>'Sales and Revenue'!$D$40</f>
        <v>Gold Coast</v>
      </c>
      <c r="C70" t="str">
        <f t="shared" si="1"/>
        <v>Mobile Phones</v>
      </c>
      <c r="D70">
        <f>'Sales and Revenue'!M34</f>
        <v>1169600</v>
      </c>
      <c r="E70">
        <f>COGS!M35</f>
        <v>789480</v>
      </c>
      <c r="F70">
        <f>Product_Profit[[#This Row],[SALES REVENUE]]-Product_Profit[[#This Row],[COGS]]</f>
        <v>380120</v>
      </c>
      <c r="G70">
        <f>'Sales Target &amp; Actual'!D31</f>
        <v>1400</v>
      </c>
      <c r="H70">
        <f>'Sales Target &amp; Actual'!J31</f>
        <v>1462</v>
      </c>
      <c r="I70">
        <f>Product_Profit[[#This Row],[ACTUAL SALES]]-Product_Profit[[#This Row],[SALES TARGET]]</f>
        <v>62</v>
      </c>
      <c r="J70" s="152">
        <f>Product_Profit[[#This Row],[TARGET ANALYSIS]]/Product_Profit[[#This Row],[SALES TARGET]]</f>
        <v>4.4285714285714282E-2</v>
      </c>
    </row>
    <row r="71" spans="1:10" x14ac:dyDescent="0.25">
      <c r="A71">
        <f>'Sales and Revenue'!$L$27</f>
        <v>2021</v>
      </c>
      <c r="B71" t="str">
        <f>'Sales and Revenue'!$D$40</f>
        <v>Gold Coast</v>
      </c>
      <c r="C71" t="str">
        <f t="shared" si="1"/>
        <v>Games and Consoles</v>
      </c>
      <c r="D71">
        <f>'Sales and Revenue'!M35</f>
        <v>580800</v>
      </c>
      <c r="E71">
        <f>COGS!M36</f>
        <v>411400</v>
      </c>
      <c r="F71">
        <f>Product_Profit[[#This Row],[SALES REVENUE]]-Product_Profit[[#This Row],[COGS]]</f>
        <v>169400</v>
      </c>
      <c r="G71">
        <f>'Sales Target &amp; Actual'!D32</f>
        <v>1400</v>
      </c>
      <c r="H71">
        <f>'Sales Target &amp; Actual'!J32</f>
        <v>1210</v>
      </c>
      <c r="I71">
        <f>Product_Profit[[#This Row],[ACTUAL SALES]]-Product_Profit[[#This Row],[SALES TARGET]]</f>
        <v>-190</v>
      </c>
      <c r="J71" s="152">
        <f>Product_Profit[[#This Row],[TARGET ANALYSIS]]/Product_Profit[[#This Row],[SALES TARGET]]</f>
        <v>-0.1357142857142857</v>
      </c>
    </row>
    <row r="72" spans="1:10" x14ac:dyDescent="0.25">
      <c r="A72">
        <f>'Sales and Revenue'!$L$27</f>
        <v>2021</v>
      </c>
      <c r="B72" t="str">
        <f>'Sales and Revenue'!$E$40</f>
        <v>Townsville</v>
      </c>
      <c r="C72" t="str">
        <f t="shared" si="1"/>
        <v>Washing Machines</v>
      </c>
      <c r="D72">
        <f>'Sales and Revenue'!N29</f>
        <v>1152000</v>
      </c>
      <c r="E72">
        <f>COGS!N30</f>
        <v>975360</v>
      </c>
      <c r="F72">
        <f>Product_Profit[[#This Row],[SALES REVENUE]]-Product_Profit[[#This Row],[COGS]]</f>
        <v>176640</v>
      </c>
      <c r="G72">
        <f>'Sales Target &amp; Actual'!E26</f>
        <v>1300</v>
      </c>
      <c r="H72">
        <f>'Sales Target &amp; Actual'!K26</f>
        <v>1536</v>
      </c>
      <c r="I72">
        <f>Product_Profit[[#This Row],[ACTUAL SALES]]-Product_Profit[[#This Row],[SALES TARGET]]</f>
        <v>236</v>
      </c>
      <c r="J72" s="152">
        <f>Product_Profit[[#This Row],[TARGET ANALYSIS]]/Product_Profit[[#This Row],[SALES TARGET]]</f>
        <v>0.18153846153846154</v>
      </c>
    </row>
    <row r="73" spans="1:10" x14ac:dyDescent="0.25">
      <c r="A73">
        <f>'Sales and Revenue'!$L$27</f>
        <v>2021</v>
      </c>
      <c r="B73" t="str">
        <f>'Sales and Revenue'!$E$40</f>
        <v>Townsville</v>
      </c>
      <c r="C73" t="str">
        <f t="shared" si="1"/>
        <v>Fridges</v>
      </c>
      <c r="D73">
        <f>'Sales and Revenue'!N30</f>
        <v>1318200</v>
      </c>
      <c r="E73">
        <f>COGS!N31</f>
        <v>1115400</v>
      </c>
      <c r="F73">
        <f>Product_Profit[[#This Row],[SALES REVENUE]]-Product_Profit[[#This Row],[COGS]]</f>
        <v>202800</v>
      </c>
      <c r="G73">
        <f>'Sales Target &amp; Actual'!E27</f>
        <v>1900</v>
      </c>
      <c r="H73">
        <f>'Sales Target &amp; Actual'!K27</f>
        <v>2028</v>
      </c>
      <c r="I73">
        <f>Product_Profit[[#This Row],[ACTUAL SALES]]-Product_Profit[[#This Row],[SALES TARGET]]</f>
        <v>128</v>
      </c>
      <c r="J73" s="152">
        <f>Product_Profit[[#This Row],[TARGET ANALYSIS]]/Product_Profit[[#This Row],[SALES TARGET]]</f>
        <v>6.7368421052631577E-2</v>
      </c>
    </row>
    <row r="74" spans="1:10" x14ac:dyDescent="0.25">
      <c r="A74">
        <f>'Sales and Revenue'!$L$27</f>
        <v>2021</v>
      </c>
      <c r="B74" t="str">
        <f>'Sales and Revenue'!$E$40</f>
        <v>Townsville</v>
      </c>
      <c r="C74" t="str">
        <f t="shared" si="1"/>
        <v>Computers and Tablets</v>
      </c>
      <c r="D74">
        <f>'Sales and Revenue'!N31</f>
        <v>396950</v>
      </c>
      <c r="E74">
        <f>COGS!N32</f>
        <v>308220</v>
      </c>
      <c r="F74">
        <f>Product_Profit[[#This Row],[SALES REVENUE]]-Product_Profit[[#This Row],[COGS]]</f>
        <v>88730</v>
      </c>
      <c r="G74">
        <f>'Sales Target &amp; Actual'!E28</f>
        <v>500</v>
      </c>
      <c r="H74">
        <f>'Sales Target &amp; Actual'!K28</f>
        <v>467</v>
      </c>
      <c r="I74">
        <f>Product_Profit[[#This Row],[ACTUAL SALES]]-Product_Profit[[#This Row],[SALES TARGET]]</f>
        <v>-33</v>
      </c>
      <c r="J74" s="152">
        <f>Product_Profit[[#This Row],[TARGET ANALYSIS]]/Product_Profit[[#This Row],[SALES TARGET]]</f>
        <v>-6.6000000000000003E-2</v>
      </c>
    </row>
    <row r="75" spans="1:10" x14ac:dyDescent="0.25">
      <c r="A75">
        <f>'Sales and Revenue'!$L$27</f>
        <v>2021</v>
      </c>
      <c r="B75" t="str">
        <f>'Sales and Revenue'!$E$40</f>
        <v>Townsville</v>
      </c>
      <c r="C75" t="str">
        <f t="shared" si="1"/>
        <v>Microwaves</v>
      </c>
      <c r="D75">
        <f>'Sales and Revenue'!N32</f>
        <v>691600</v>
      </c>
      <c r="E75">
        <f>COGS!N33</f>
        <v>518700</v>
      </c>
      <c r="F75">
        <f>Product_Profit[[#This Row],[SALES REVENUE]]-Product_Profit[[#This Row],[COGS]]</f>
        <v>172900</v>
      </c>
      <c r="G75">
        <f>'Sales Target &amp; Actual'!E29</f>
        <v>1500</v>
      </c>
      <c r="H75">
        <f>'Sales Target &amp; Actual'!K29</f>
        <v>1729</v>
      </c>
      <c r="I75">
        <f>Product_Profit[[#This Row],[ACTUAL SALES]]-Product_Profit[[#This Row],[SALES TARGET]]</f>
        <v>229</v>
      </c>
      <c r="J75" s="152">
        <f>Product_Profit[[#This Row],[TARGET ANALYSIS]]/Product_Profit[[#This Row],[SALES TARGET]]</f>
        <v>0.15266666666666667</v>
      </c>
    </row>
    <row r="76" spans="1:10" x14ac:dyDescent="0.25">
      <c r="A76">
        <f>'Sales and Revenue'!$L$27</f>
        <v>2021</v>
      </c>
      <c r="B76" t="str">
        <f>'Sales and Revenue'!$E$40</f>
        <v>Townsville</v>
      </c>
      <c r="C76" t="str">
        <f t="shared" si="1"/>
        <v>TVs</v>
      </c>
      <c r="D76">
        <f>'Sales and Revenue'!N33</f>
        <v>698600</v>
      </c>
      <c r="E76">
        <f>COGS!N34</f>
        <v>489020</v>
      </c>
      <c r="F76">
        <f>Product_Profit[[#This Row],[SALES REVENUE]]-Product_Profit[[#This Row],[COGS]]</f>
        <v>209580</v>
      </c>
      <c r="G76">
        <f>'Sales Target &amp; Actual'!E30</f>
        <v>900</v>
      </c>
      <c r="H76">
        <f>'Sales Target &amp; Actual'!K30</f>
        <v>998</v>
      </c>
      <c r="I76">
        <f>Product_Profit[[#This Row],[ACTUAL SALES]]-Product_Profit[[#This Row],[SALES TARGET]]</f>
        <v>98</v>
      </c>
      <c r="J76" s="152">
        <f>Product_Profit[[#This Row],[TARGET ANALYSIS]]/Product_Profit[[#This Row],[SALES TARGET]]</f>
        <v>0.10888888888888888</v>
      </c>
    </row>
    <row r="77" spans="1:10" x14ac:dyDescent="0.25">
      <c r="A77">
        <f>'Sales and Revenue'!$L$27</f>
        <v>2021</v>
      </c>
      <c r="B77" t="str">
        <f>'Sales and Revenue'!$E$40</f>
        <v>Townsville</v>
      </c>
      <c r="C77" t="str">
        <f t="shared" si="1"/>
        <v>Mobile Phones</v>
      </c>
      <c r="D77">
        <f>'Sales and Revenue'!N34</f>
        <v>1208800</v>
      </c>
      <c r="E77">
        <f>COGS!N35</f>
        <v>815940</v>
      </c>
      <c r="F77">
        <f>Product_Profit[[#This Row],[SALES REVENUE]]-Product_Profit[[#This Row],[COGS]]</f>
        <v>392860</v>
      </c>
      <c r="G77">
        <f>'Sales Target &amp; Actual'!E31</f>
        <v>1300</v>
      </c>
      <c r="H77">
        <f>'Sales Target &amp; Actual'!K31</f>
        <v>1511</v>
      </c>
      <c r="I77">
        <f>Product_Profit[[#This Row],[ACTUAL SALES]]-Product_Profit[[#This Row],[SALES TARGET]]</f>
        <v>211</v>
      </c>
      <c r="J77" s="152">
        <f>Product_Profit[[#This Row],[TARGET ANALYSIS]]/Product_Profit[[#This Row],[SALES TARGET]]</f>
        <v>0.16230769230769232</v>
      </c>
    </row>
    <row r="78" spans="1:10" x14ac:dyDescent="0.25">
      <c r="A78">
        <f>'Sales and Revenue'!$L$27</f>
        <v>2021</v>
      </c>
      <c r="B78" t="str">
        <f>'Sales and Revenue'!$E$40</f>
        <v>Townsville</v>
      </c>
      <c r="C78" t="str">
        <f t="shared" si="1"/>
        <v>Games and Consoles</v>
      </c>
      <c r="D78">
        <f>'Sales and Revenue'!N35</f>
        <v>646560</v>
      </c>
      <c r="E78">
        <f>COGS!N36</f>
        <v>457980</v>
      </c>
      <c r="F78">
        <f>Product_Profit[[#This Row],[SALES REVENUE]]-Product_Profit[[#This Row],[COGS]]</f>
        <v>188580</v>
      </c>
      <c r="G78">
        <f>'Sales Target &amp; Actual'!E32</f>
        <v>1200</v>
      </c>
      <c r="H78">
        <f>'Sales Target &amp; Actual'!K32</f>
        <v>1347</v>
      </c>
      <c r="I78">
        <f>Product_Profit[[#This Row],[ACTUAL SALES]]-Product_Profit[[#This Row],[SALES TARGET]]</f>
        <v>147</v>
      </c>
      <c r="J78" s="152">
        <f>Product_Profit[[#This Row],[TARGET ANALYSIS]]/Product_Profit[[#This Row],[SALES TARGET]]</f>
        <v>0.1225</v>
      </c>
    </row>
    <row r="79" spans="1:10" x14ac:dyDescent="0.25">
      <c r="A79">
        <f>'Sales and Revenue'!$L$27</f>
        <v>2021</v>
      </c>
      <c r="B79" t="str">
        <f>'Sales and Revenue'!$F$40</f>
        <v>Cairns</v>
      </c>
      <c r="C79" t="str">
        <f t="shared" si="1"/>
        <v>Washing Machines</v>
      </c>
      <c r="D79">
        <f>'Sales and Revenue'!O29</f>
        <v>936750</v>
      </c>
      <c r="E79">
        <f>COGS!O30</f>
        <v>793115</v>
      </c>
      <c r="F79">
        <f>Product_Profit[[#This Row],[SALES REVENUE]]-Product_Profit[[#This Row],[COGS]]</f>
        <v>143635</v>
      </c>
      <c r="G79">
        <f>'Sales Target &amp; Actual'!F26</f>
        <v>1100</v>
      </c>
      <c r="H79">
        <f>'Sales Target &amp; Actual'!L26</f>
        <v>1249</v>
      </c>
      <c r="I79">
        <f>Product_Profit[[#This Row],[ACTUAL SALES]]-Product_Profit[[#This Row],[SALES TARGET]]</f>
        <v>149</v>
      </c>
      <c r="J79" s="152">
        <f>Product_Profit[[#This Row],[TARGET ANALYSIS]]/Product_Profit[[#This Row],[SALES TARGET]]</f>
        <v>0.13545454545454547</v>
      </c>
    </row>
    <row r="80" spans="1:10" x14ac:dyDescent="0.25">
      <c r="A80">
        <f>'Sales and Revenue'!$L$27</f>
        <v>2021</v>
      </c>
      <c r="B80" t="str">
        <f>'Sales and Revenue'!$F$40</f>
        <v>Cairns</v>
      </c>
      <c r="C80" t="str">
        <f t="shared" si="1"/>
        <v>Fridges</v>
      </c>
      <c r="D80">
        <f>'Sales and Revenue'!O30</f>
        <v>1383850</v>
      </c>
      <c r="E80">
        <f>COGS!O31</f>
        <v>1170950</v>
      </c>
      <c r="F80">
        <f>Product_Profit[[#This Row],[SALES REVENUE]]-Product_Profit[[#This Row],[COGS]]</f>
        <v>212900</v>
      </c>
      <c r="G80">
        <f>'Sales Target &amp; Actual'!F27</f>
        <v>1700</v>
      </c>
      <c r="H80">
        <f>'Sales Target &amp; Actual'!L27</f>
        <v>2129</v>
      </c>
      <c r="I80">
        <f>Product_Profit[[#This Row],[ACTUAL SALES]]-Product_Profit[[#This Row],[SALES TARGET]]</f>
        <v>429</v>
      </c>
      <c r="J80" s="152">
        <f>Product_Profit[[#This Row],[TARGET ANALYSIS]]/Product_Profit[[#This Row],[SALES TARGET]]</f>
        <v>0.25235294117647061</v>
      </c>
    </row>
    <row r="81" spans="1:10" x14ac:dyDescent="0.25">
      <c r="A81">
        <f>'Sales and Revenue'!$L$27</f>
        <v>2021</v>
      </c>
      <c r="B81" t="str">
        <f>'Sales and Revenue'!$F$40</f>
        <v>Cairns</v>
      </c>
      <c r="C81" t="str">
        <f t="shared" si="1"/>
        <v>Computers and Tablets</v>
      </c>
      <c r="D81">
        <f>'Sales and Revenue'!O31</f>
        <v>565250</v>
      </c>
      <c r="E81">
        <f>COGS!O32</f>
        <v>438900</v>
      </c>
      <c r="F81">
        <f>Product_Profit[[#This Row],[SALES REVENUE]]-Product_Profit[[#This Row],[COGS]]</f>
        <v>126350</v>
      </c>
      <c r="G81">
        <f>'Sales Target &amp; Actual'!F28</f>
        <v>500</v>
      </c>
      <c r="H81">
        <f>'Sales Target &amp; Actual'!L28</f>
        <v>665</v>
      </c>
      <c r="I81">
        <f>Product_Profit[[#This Row],[ACTUAL SALES]]-Product_Profit[[#This Row],[SALES TARGET]]</f>
        <v>165</v>
      </c>
      <c r="J81" s="152">
        <f>Product_Profit[[#This Row],[TARGET ANALYSIS]]/Product_Profit[[#This Row],[SALES TARGET]]</f>
        <v>0.33</v>
      </c>
    </row>
    <row r="82" spans="1:10" x14ac:dyDescent="0.25">
      <c r="A82">
        <f>'Sales and Revenue'!$L$27</f>
        <v>2021</v>
      </c>
      <c r="B82" t="str">
        <f>'Sales and Revenue'!$F$40</f>
        <v>Cairns</v>
      </c>
      <c r="C82" t="str">
        <f t="shared" si="1"/>
        <v>Microwaves</v>
      </c>
      <c r="D82">
        <f>'Sales and Revenue'!O32</f>
        <v>544000</v>
      </c>
      <c r="E82">
        <f>COGS!O33</f>
        <v>408000</v>
      </c>
      <c r="F82">
        <f>Product_Profit[[#This Row],[SALES REVENUE]]-Product_Profit[[#This Row],[COGS]]</f>
        <v>136000</v>
      </c>
      <c r="G82">
        <f>'Sales Target &amp; Actual'!F29</f>
        <v>1300</v>
      </c>
      <c r="H82">
        <f>'Sales Target &amp; Actual'!L29</f>
        <v>1360</v>
      </c>
      <c r="I82">
        <f>Product_Profit[[#This Row],[ACTUAL SALES]]-Product_Profit[[#This Row],[SALES TARGET]]</f>
        <v>60</v>
      </c>
      <c r="J82" s="152">
        <f>Product_Profit[[#This Row],[TARGET ANALYSIS]]/Product_Profit[[#This Row],[SALES TARGET]]</f>
        <v>4.6153846153846156E-2</v>
      </c>
    </row>
    <row r="83" spans="1:10" x14ac:dyDescent="0.25">
      <c r="A83">
        <f>'Sales and Revenue'!$L$27</f>
        <v>2021</v>
      </c>
      <c r="B83" t="str">
        <f>'Sales and Revenue'!$F$40</f>
        <v>Cairns</v>
      </c>
      <c r="C83" t="str">
        <f t="shared" si="1"/>
        <v>TVs</v>
      </c>
      <c r="D83">
        <f>'Sales and Revenue'!O33</f>
        <v>886900</v>
      </c>
      <c r="E83">
        <f>COGS!O34</f>
        <v>620830</v>
      </c>
      <c r="F83">
        <f>Product_Profit[[#This Row],[SALES REVENUE]]-Product_Profit[[#This Row],[COGS]]</f>
        <v>266070</v>
      </c>
      <c r="G83">
        <f>'Sales Target &amp; Actual'!F30</f>
        <v>800</v>
      </c>
      <c r="H83">
        <f>'Sales Target &amp; Actual'!L30</f>
        <v>1267</v>
      </c>
      <c r="I83">
        <f>Product_Profit[[#This Row],[ACTUAL SALES]]-Product_Profit[[#This Row],[SALES TARGET]]</f>
        <v>467</v>
      </c>
      <c r="J83" s="152">
        <f>Product_Profit[[#This Row],[TARGET ANALYSIS]]/Product_Profit[[#This Row],[SALES TARGET]]</f>
        <v>0.58374999999999999</v>
      </c>
    </row>
    <row r="84" spans="1:10" x14ac:dyDescent="0.25">
      <c r="A84">
        <f>'Sales and Revenue'!$L$27</f>
        <v>2021</v>
      </c>
      <c r="B84" t="str">
        <f>'Sales and Revenue'!$F$40</f>
        <v>Cairns</v>
      </c>
      <c r="C84" t="str">
        <f t="shared" si="1"/>
        <v>Mobile Phones</v>
      </c>
      <c r="D84">
        <f>'Sales and Revenue'!O34</f>
        <v>1262400</v>
      </c>
      <c r="E84">
        <f>COGS!O35</f>
        <v>852120</v>
      </c>
      <c r="F84">
        <f>Product_Profit[[#This Row],[SALES REVENUE]]-Product_Profit[[#This Row],[COGS]]</f>
        <v>410280</v>
      </c>
      <c r="G84">
        <f>'Sales Target &amp; Actual'!F31</f>
        <v>1100</v>
      </c>
      <c r="H84">
        <f>'Sales Target &amp; Actual'!L31</f>
        <v>1578</v>
      </c>
      <c r="I84">
        <f>Product_Profit[[#This Row],[ACTUAL SALES]]-Product_Profit[[#This Row],[SALES TARGET]]</f>
        <v>478</v>
      </c>
      <c r="J84" s="152">
        <f>Product_Profit[[#This Row],[TARGET ANALYSIS]]/Product_Profit[[#This Row],[SALES TARGET]]</f>
        <v>0.43454545454545457</v>
      </c>
    </row>
    <row r="85" spans="1:10" x14ac:dyDescent="0.25">
      <c r="A85">
        <f>'Sales and Revenue'!$L$27</f>
        <v>2021</v>
      </c>
      <c r="B85" t="str">
        <f>'Sales and Revenue'!$F$40</f>
        <v>Cairns</v>
      </c>
      <c r="C85" t="str">
        <f t="shared" si="1"/>
        <v>Games and Consoles</v>
      </c>
      <c r="D85">
        <f>'Sales and Revenue'!O35</f>
        <v>704160</v>
      </c>
      <c r="E85">
        <f>COGS!O36</f>
        <v>498780</v>
      </c>
      <c r="F85">
        <f>Product_Profit[[#This Row],[SALES REVENUE]]-Product_Profit[[#This Row],[COGS]]</f>
        <v>205380</v>
      </c>
      <c r="G85">
        <f>'Sales Target &amp; Actual'!F32</f>
        <v>1100</v>
      </c>
      <c r="H85">
        <f>'Sales Target &amp; Actual'!L32</f>
        <v>1467</v>
      </c>
      <c r="I85">
        <f>Product_Profit[[#This Row],[ACTUAL SALES]]-Product_Profit[[#This Row],[SALES TARGET]]</f>
        <v>367</v>
      </c>
      <c r="J85" s="152">
        <f>Product_Profit[[#This Row],[TARGET ANALYSIS]]/Product_Profit[[#This Row],[SALES TARGET]]</f>
        <v>0.33363636363636362</v>
      </c>
    </row>
  </sheetData>
  <sheetProtection algorithmName="SHA-512" hashValue="AycjyK5NZs8B1FD+olRHWofpYxzgXPAZx0uq4xyc6Ft6PDF10/0BOuPbmlz3lz2EOTEFgf4wlUz0F+aPOudlFA==" saltValue="Srt1u+2ZdI9+hPmA8iYtaA==" spinCount="100000" sheet="1" objects="1" scenarios="1"/>
  <pageMargins left="0.7" right="0.7" top="0.75" bottom="0.75" header="0.3" footer="0.3"/>
  <pageSetup paperSize="9" orientation="portrait" horizontalDpi="300" verticalDpi="300"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499984740745262"/>
  </sheetPr>
  <dimension ref="A1:I49"/>
  <sheetViews>
    <sheetView workbookViewId="0">
      <selection activeCell="B5" sqref="B5"/>
    </sheetView>
  </sheetViews>
  <sheetFormatPr defaultRowHeight="12.5" x14ac:dyDescent="0.25"/>
  <cols>
    <col min="1" max="1" width="30.81640625" bestFit="1" customWidth="1"/>
    <col min="2" max="2" width="21.1796875" bestFit="1" customWidth="1"/>
    <col min="3" max="3" width="9.6328125" bestFit="1" customWidth="1"/>
    <col min="4" max="4" width="19.26953125" bestFit="1" customWidth="1"/>
    <col min="5" max="5" width="11" bestFit="1" customWidth="1"/>
    <col min="6" max="6" width="13.54296875" bestFit="1" customWidth="1"/>
    <col min="7" max="7" width="9.6328125" bestFit="1" customWidth="1"/>
    <col min="8" max="8" width="17.1796875" bestFit="1" customWidth="1"/>
    <col min="9" max="9" width="11.1796875" bestFit="1" customWidth="1"/>
    <col min="10" max="14" width="30.81640625" bestFit="1" customWidth="1"/>
    <col min="15" max="15" width="27.6328125" bestFit="1" customWidth="1"/>
    <col min="16" max="16" width="35.81640625" bestFit="1" customWidth="1"/>
    <col min="17" max="17" width="9.7265625" bestFit="1" customWidth="1"/>
    <col min="18" max="18" width="21.1796875" bestFit="1" customWidth="1"/>
    <col min="19" max="19" width="7.26953125" bestFit="1" customWidth="1"/>
    <col min="20" max="20" width="19.26953125" bestFit="1" customWidth="1"/>
    <col min="21" max="21" width="11" bestFit="1" customWidth="1"/>
    <col min="22" max="22" width="13.54296875" bestFit="1" customWidth="1"/>
    <col min="23" max="23" width="4.81640625" bestFit="1" customWidth="1"/>
    <col min="24" max="24" width="17.1796875" bestFit="1" customWidth="1"/>
    <col min="25" max="25" width="9.7265625" bestFit="1" customWidth="1"/>
    <col min="26" max="26" width="11.08984375" bestFit="1" customWidth="1"/>
  </cols>
  <sheetData>
    <row r="1" spans="1:9" x14ac:dyDescent="0.25">
      <c r="A1" s="300" t="s">
        <v>227</v>
      </c>
      <c r="B1" t="s">
        <v>238</v>
      </c>
    </row>
    <row r="2" spans="1:9" x14ac:dyDescent="0.25">
      <c r="A2" s="37">
        <v>2019</v>
      </c>
      <c r="B2">
        <v>541305</v>
      </c>
    </row>
    <row r="3" spans="1:9" x14ac:dyDescent="0.25">
      <c r="A3" s="37">
        <v>2020</v>
      </c>
      <c r="B3">
        <v>620030</v>
      </c>
    </row>
    <row r="4" spans="1:9" x14ac:dyDescent="0.25">
      <c r="A4" s="37">
        <v>2021</v>
      </c>
      <c r="B4">
        <v>743935</v>
      </c>
    </row>
    <row r="5" spans="1:9" x14ac:dyDescent="0.25">
      <c r="A5" s="37" t="s">
        <v>226</v>
      </c>
      <c r="B5">
        <v>1905270</v>
      </c>
    </row>
    <row r="8" spans="1:9" x14ac:dyDescent="0.25">
      <c r="A8" t="s">
        <v>235</v>
      </c>
      <c r="B8" t="s">
        <v>236</v>
      </c>
      <c r="C8" t="s">
        <v>237</v>
      </c>
    </row>
    <row r="9" spans="1:9" x14ac:dyDescent="0.25">
      <c r="A9">
        <v>1300</v>
      </c>
      <c r="B9">
        <v>1536</v>
      </c>
      <c r="C9">
        <v>1536</v>
      </c>
    </row>
    <row r="11" spans="1:9" x14ac:dyDescent="0.25">
      <c r="B11" s="300" t="s">
        <v>225</v>
      </c>
    </row>
    <row r="12" spans="1:9" x14ac:dyDescent="0.25">
      <c r="B12" t="s">
        <v>103</v>
      </c>
      <c r="C12" t="s">
        <v>16</v>
      </c>
      <c r="D12" t="s">
        <v>105</v>
      </c>
      <c r="E12" t="s">
        <v>17</v>
      </c>
      <c r="F12" t="s">
        <v>104</v>
      </c>
      <c r="G12" t="s">
        <v>18</v>
      </c>
      <c r="H12" t="s">
        <v>15</v>
      </c>
      <c r="I12" t="s">
        <v>226</v>
      </c>
    </row>
    <row r="13" spans="1:9" x14ac:dyDescent="0.25">
      <c r="A13" t="s">
        <v>238</v>
      </c>
      <c r="B13" s="330">
        <v>88730</v>
      </c>
      <c r="C13" s="330">
        <v>202800</v>
      </c>
      <c r="D13" s="330">
        <v>188580</v>
      </c>
      <c r="E13" s="330">
        <v>172900</v>
      </c>
      <c r="F13" s="330">
        <v>392860</v>
      </c>
      <c r="G13" s="330">
        <v>209580</v>
      </c>
      <c r="H13" s="330">
        <v>176640</v>
      </c>
      <c r="I13" s="330">
        <v>1432090</v>
      </c>
    </row>
    <row r="42" spans="2:3" x14ac:dyDescent="0.25">
      <c r="B42" s="37"/>
      <c r="C42" s="153"/>
    </row>
    <row r="43" spans="2:3" x14ac:dyDescent="0.25">
      <c r="B43" s="37"/>
      <c r="C43" s="153"/>
    </row>
    <row r="44" spans="2:3" x14ac:dyDescent="0.25">
      <c r="B44" s="37"/>
      <c r="C44" s="153"/>
    </row>
    <row r="45" spans="2:3" x14ac:dyDescent="0.25">
      <c r="B45" s="37"/>
      <c r="C45" s="153"/>
    </row>
    <row r="46" spans="2:3" x14ac:dyDescent="0.25">
      <c r="B46" s="37"/>
      <c r="C46" s="153"/>
    </row>
    <row r="47" spans="2:3" x14ac:dyDescent="0.25">
      <c r="B47" s="37"/>
      <c r="C47" s="153"/>
    </row>
    <row r="48" spans="2:3" x14ac:dyDescent="0.25">
      <c r="B48" s="37"/>
      <c r="C48" s="153"/>
    </row>
    <row r="49" spans="2:3" x14ac:dyDescent="0.25">
      <c r="B49" s="37"/>
      <c r="C49" s="153"/>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FF0000"/>
  </sheetPr>
  <dimension ref="A1:B1"/>
  <sheetViews>
    <sheetView topLeftCell="A6" workbookViewId="0">
      <selection activeCell="D8" sqref="D8"/>
    </sheetView>
  </sheetViews>
  <sheetFormatPr defaultRowHeight="12.5" x14ac:dyDescent="0.25"/>
  <cols>
    <col min="1" max="1" width="13.36328125" style="324" customWidth="1"/>
    <col min="2" max="2" width="12.81640625" style="324" customWidth="1"/>
    <col min="3" max="3" width="12.7265625" style="324" customWidth="1"/>
    <col min="4" max="4" width="16.453125" style="324" customWidth="1"/>
    <col min="5" max="5" width="8.453125" style="324" customWidth="1"/>
    <col min="6" max="6" width="8.7265625" style="324" customWidth="1"/>
    <col min="7" max="12" width="8.7265625" style="324"/>
    <col min="13" max="13" width="2.81640625" style="324" customWidth="1"/>
    <col min="14" max="16384" width="8.7265625" style="324"/>
  </cols>
  <sheetData>
    <row r="1" spans="1:2" ht="17.5" x14ac:dyDescent="0.35">
      <c r="A1" s="361" t="s">
        <v>233</v>
      </c>
      <c r="B1" s="361"/>
    </row>
  </sheetData>
  <mergeCells count="1">
    <mergeCell ref="A1:B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C00000"/>
    <pageSetUpPr fitToPage="1"/>
  </sheetPr>
  <dimension ref="A1:X85"/>
  <sheetViews>
    <sheetView topLeftCell="A12" zoomScale="55" zoomScaleNormal="55" workbookViewId="0">
      <selection activeCell="H13" sqref="H13"/>
    </sheetView>
  </sheetViews>
  <sheetFormatPr defaultRowHeight="13" x14ac:dyDescent="0.3"/>
  <cols>
    <col min="1" max="1" width="8.7265625" style="6"/>
    <col min="2" max="2" width="14.7265625" style="6" customWidth="1"/>
    <col min="3" max="3" width="17.81640625" style="6" customWidth="1"/>
    <col min="4" max="4" width="15.81640625" style="6" customWidth="1"/>
    <col min="5" max="5" width="20.54296875" style="6" customWidth="1"/>
    <col min="6" max="6" width="16.7265625" style="6" customWidth="1"/>
    <col min="7" max="7" width="17.1796875" style="6" customWidth="1"/>
    <col min="8" max="8" width="18.7265625" style="6" customWidth="1"/>
    <col min="9" max="9" width="19.36328125" style="6" bestFit="1" customWidth="1"/>
    <col min="10" max="10" width="16.1796875" style="6" customWidth="1"/>
    <col min="11" max="14" width="18.7265625" style="6" customWidth="1"/>
    <col min="15" max="15" width="19.36328125" style="6" bestFit="1" customWidth="1"/>
    <col min="16" max="17" width="18.7265625" style="6" customWidth="1"/>
    <col min="18" max="16384" width="8.7265625" style="6"/>
  </cols>
  <sheetData>
    <row r="1" spans="2:17" x14ac:dyDescent="0.3">
      <c r="B1" s="234" t="s">
        <v>42</v>
      </c>
      <c r="C1" s="34"/>
      <c r="D1" s="34"/>
      <c r="E1" s="34"/>
      <c r="F1" s="34"/>
      <c r="G1" s="34"/>
      <c r="H1" s="34"/>
      <c r="I1" s="34"/>
      <c r="J1" s="34"/>
      <c r="K1" s="34"/>
    </row>
    <row r="4" spans="2:17" x14ac:dyDescent="0.3">
      <c r="B4" s="68" t="s">
        <v>43</v>
      </c>
      <c r="C4" s="68"/>
      <c r="D4" s="68"/>
      <c r="E4" s="68"/>
      <c r="F4" s="68"/>
    </row>
    <row r="5" spans="2:17" x14ac:dyDescent="0.3">
      <c r="B5" s="68" t="s">
        <v>44</v>
      </c>
      <c r="C5" s="68"/>
      <c r="D5" s="68"/>
      <c r="E5" s="68"/>
      <c r="F5" s="68"/>
    </row>
    <row r="6" spans="2:17" x14ac:dyDescent="0.3">
      <c r="B6" s="68" t="s">
        <v>213</v>
      </c>
      <c r="G6" s="308"/>
    </row>
    <row r="7" spans="2:17" x14ac:dyDescent="0.3">
      <c r="B7" s="68" t="s">
        <v>214</v>
      </c>
    </row>
    <row r="8" spans="2:17" x14ac:dyDescent="0.3">
      <c r="B8" s="68"/>
      <c r="K8" s="6" t="s">
        <v>20</v>
      </c>
    </row>
    <row r="9" spans="2:17" ht="13.5" thickBot="1" x14ac:dyDescent="0.35"/>
    <row r="10" spans="2:17" ht="23.5" thickBot="1" x14ac:dyDescent="0.55000000000000004">
      <c r="B10" s="235" t="s">
        <v>45</v>
      </c>
      <c r="C10" s="236"/>
      <c r="D10" s="236"/>
      <c r="E10" s="362" t="s">
        <v>99</v>
      </c>
      <c r="F10" s="362"/>
      <c r="G10" s="362"/>
      <c r="H10" s="362"/>
      <c r="I10" s="363"/>
      <c r="J10" s="237" t="s">
        <v>46</v>
      </c>
      <c r="K10" s="237" t="s">
        <v>124</v>
      </c>
      <c r="L10" s="237" t="s">
        <v>125</v>
      </c>
      <c r="O10" s="309"/>
      <c r="P10" s="309"/>
      <c r="Q10" s="309"/>
    </row>
    <row r="11" spans="2:17" ht="13.5" thickBot="1" x14ac:dyDescent="0.35">
      <c r="B11" s="238"/>
      <c r="C11" s="239"/>
      <c r="D11" s="239"/>
      <c r="E11" s="240" t="s">
        <v>47</v>
      </c>
      <c r="F11" s="241" t="s">
        <v>48</v>
      </c>
      <c r="G11" s="242" t="s">
        <v>30</v>
      </c>
      <c r="H11" s="242" t="s">
        <v>31</v>
      </c>
      <c r="I11" s="243" t="s">
        <v>32</v>
      </c>
      <c r="J11" s="243" t="s">
        <v>91</v>
      </c>
      <c r="K11" s="243" t="s">
        <v>126</v>
      </c>
      <c r="L11" s="243" t="s">
        <v>195</v>
      </c>
    </row>
    <row r="12" spans="2:17" x14ac:dyDescent="0.3">
      <c r="B12" s="244"/>
      <c r="C12" s="239"/>
      <c r="D12" s="239"/>
      <c r="E12" s="245">
        <v>2022</v>
      </c>
      <c r="F12" s="241">
        <f>E12</f>
        <v>2022</v>
      </c>
      <c r="G12" s="242">
        <f>E12</f>
        <v>2022</v>
      </c>
      <c r="H12" s="242">
        <f>E12</f>
        <v>2022</v>
      </c>
      <c r="I12" s="243">
        <f>E12</f>
        <v>2022</v>
      </c>
      <c r="J12" s="246">
        <f>E12</f>
        <v>2022</v>
      </c>
      <c r="K12" s="246">
        <f>E12</f>
        <v>2022</v>
      </c>
      <c r="L12" s="246">
        <f>K12</f>
        <v>2022</v>
      </c>
    </row>
    <row r="13" spans="2:17" x14ac:dyDescent="0.3">
      <c r="B13" s="247" t="s">
        <v>41</v>
      </c>
      <c r="E13" s="248">
        <v>5019643.3333332539</v>
      </c>
      <c r="F13" s="249">
        <v>5688700</v>
      </c>
      <c r="G13" s="250">
        <f>F13*90%</f>
        <v>5119830</v>
      </c>
      <c r="H13" s="250">
        <f>F13*110%</f>
        <v>6257570.0000000009</v>
      </c>
      <c r="I13" s="251">
        <f>F13*120%</f>
        <v>6826440</v>
      </c>
      <c r="J13" s="252">
        <f>F13</f>
        <v>5688700</v>
      </c>
      <c r="K13" s="252">
        <f>F13*105%</f>
        <v>5973135</v>
      </c>
      <c r="L13" s="252">
        <f>F13*110%</f>
        <v>6257570.0000000009</v>
      </c>
    </row>
    <row r="14" spans="2:17" x14ac:dyDescent="0.3">
      <c r="B14" s="227"/>
      <c r="E14" s="248"/>
      <c r="F14" s="253"/>
      <c r="G14" s="254"/>
      <c r="H14" s="254"/>
      <c r="I14" s="255"/>
      <c r="J14" s="256"/>
      <c r="K14" s="256"/>
      <c r="L14" s="256"/>
    </row>
    <row r="15" spans="2:17" ht="13.5" thickBot="1" x14ac:dyDescent="0.35">
      <c r="B15" s="257" t="s">
        <v>20</v>
      </c>
      <c r="C15" s="258" t="s">
        <v>34</v>
      </c>
      <c r="D15" s="258"/>
      <c r="E15" s="259">
        <v>3856250</v>
      </c>
      <c r="F15" s="260">
        <v>4357940</v>
      </c>
      <c r="G15" s="260">
        <v>4357940</v>
      </c>
      <c r="H15" s="260">
        <v>4357940</v>
      </c>
      <c r="I15" s="260">
        <v>4357940</v>
      </c>
      <c r="J15" s="261">
        <v>4357940</v>
      </c>
      <c r="K15" s="261">
        <v>4357940</v>
      </c>
      <c r="L15" s="261">
        <v>4357940</v>
      </c>
    </row>
    <row r="16" spans="2:17" ht="13.5" thickTop="1" x14ac:dyDescent="0.3">
      <c r="B16" s="262" t="s">
        <v>35</v>
      </c>
      <c r="C16" s="263"/>
      <c r="D16" s="263"/>
      <c r="E16" s="248">
        <v>1163393.3333333135</v>
      </c>
      <c r="F16" s="249">
        <v>1330760</v>
      </c>
      <c r="G16" s="250">
        <f t="shared" ref="G16:L16" si="0">G13-G15</f>
        <v>761890</v>
      </c>
      <c r="H16" s="250">
        <f t="shared" si="0"/>
        <v>1899630.0000000009</v>
      </c>
      <c r="I16" s="251">
        <f t="shared" si="0"/>
        <v>2468500</v>
      </c>
      <c r="J16" s="252">
        <f t="shared" si="0"/>
        <v>1330760</v>
      </c>
      <c r="K16" s="252">
        <f t="shared" si="0"/>
        <v>1615195</v>
      </c>
      <c r="L16" s="252">
        <f t="shared" si="0"/>
        <v>1899630.0000000009</v>
      </c>
    </row>
    <row r="17" spans="2:24" x14ac:dyDescent="0.3">
      <c r="B17" s="227"/>
      <c r="C17" s="6" t="s">
        <v>36</v>
      </c>
      <c r="E17" s="248"/>
      <c r="F17" s="253"/>
      <c r="G17" s="254"/>
      <c r="H17" s="254"/>
      <c r="I17" s="255"/>
      <c r="J17" s="256"/>
      <c r="K17" s="256"/>
      <c r="L17" s="256"/>
    </row>
    <row r="18" spans="2:24" ht="18" x14ac:dyDescent="0.4">
      <c r="B18" s="227" t="s">
        <v>20</v>
      </c>
      <c r="D18" s="6" t="s">
        <v>196</v>
      </c>
      <c r="E18" s="248">
        <v>756666.66666666418</v>
      </c>
      <c r="F18" s="250">
        <f>$P$33*$P$39+$P$34*$P$40+$P$35*$P$41</f>
        <v>731000</v>
      </c>
      <c r="G18" s="250">
        <f t="shared" ref="G18:H18" si="1">$P$33*$P$39+$P$34*$P$40+$P$35*$P$41</f>
        <v>731000</v>
      </c>
      <c r="H18" s="250">
        <f t="shared" si="1"/>
        <v>731000</v>
      </c>
      <c r="I18" s="250">
        <f>$P$33*$P$39+$P$34*$P$40+$P$35*$P$41</f>
        <v>731000</v>
      </c>
      <c r="J18" s="252">
        <f>$P$33*$Q$39+$P$34*$Q$40+$P$35*$Q$41</f>
        <v>374000</v>
      </c>
      <c r="K18" s="252">
        <f t="shared" ref="K18:L18" si="2">$P$33*$Q$39+$P$34*$Q$40+$P$35*$Q$41</f>
        <v>374000</v>
      </c>
      <c r="L18" s="252">
        <f t="shared" si="2"/>
        <v>374000</v>
      </c>
      <c r="O18" s="2"/>
      <c r="P18" s="2"/>
      <c r="Q18" s="2"/>
    </row>
    <row r="19" spans="2:24" ht="15.5" x14ac:dyDescent="0.35">
      <c r="B19" s="227"/>
      <c r="D19" s="6" t="s">
        <v>37</v>
      </c>
      <c r="E19" s="248">
        <v>285000</v>
      </c>
      <c r="F19" s="250">
        <v>285000</v>
      </c>
      <c r="G19" s="250">
        <v>285000</v>
      </c>
      <c r="H19" s="250">
        <v>285000</v>
      </c>
      <c r="I19" s="250">
        <v>285000</v>
      </c>
      <c r="J19" s="252">
        <v>285000</v>
      </c>
      <c r="K19" s="252">
        <v>285000</v>
      </c>
      <c r="L19" s="252">
        <v>285000</v>
      </c>
      <c r="O19" s="1"/>
      <c r="P19" s="1"/>
      <c r="Q19" s="1"/>
    </row>
    <row r="20" spans="2:24" x14ac:dyDescent="0.3">
      <c r="B20" s="227"/>
      <c r="D20" s="6" t="s">
        <v>38</v>
      </c>
      <c r="E20" s="248">
        <v>81666.666666666977</v>
      </c>
      <c r="F20" s="250">
        <v>85000</v>
      </c>
      <c r="G20" s="250">
        <v>85000</v>
      </c>
      <c r="H20" s="250">
        <v>85000</v>
      </c>
      <c r="I20" s="250">
        <v>85000</v>
      </c>
      <c r="J20" s="252">
        <v>85000</v>
      </c>
      <c r="K20" s="252">
        <v>85000</v>
      </c>
      <c r="L20" s="252">
        <v>85000</v>
      </c>
    </row>
    <row r="21" spans="2:24" ht="15.5" x14ac:dyDescent="0.35">
      <c r="B21" s="227"/>
      <c r="D21" s="6" t="s">
        <v>39</v>
      </c>
      <c r="E21" s="248">
        <v>447190.80000000028</v>
      </c>
      <c r="F21" s="250">
        <v>443973.60000000003</v>
      </c>
      <c r="G21" s="250">
        <v>443973.60000000003</v>
      </c>
      <c r="H21" s="250">
        <v>443973.60000000003</v>
      </c>
      <c r="I21" s="250">
        <v>443973.6</v>
      </c>
      <c r="J21" s="252">
        <v>443973.6</v>
      </c>
      <c r="K21" s="252">
        <v>443973.6</v>
      </c>
      <c r="L21" s="252">
        <v>443973.6</v>
      </c>
      <c r="O21" s="320"/>
      <c r="P21" s="320"/>
      <c r="Q21" s="320"/>
      <c r="R21" s="320"/>
      <c r="S21" s="320"/>
      <c r="U21" s="320"/>
      <c r="V21" s="321"/>
      <c r="W21" s="321"/>
      <c r="X21" s="321"/>
    </row>
    <row r="22" spans="2:24" ht="16" thickBot="1" x14ac:dyDescent="0.4">
      <c r="B22" s="264"/>
      <c r="C22" s="265"/>
      <c r="D22" s="265" t="s">
        <v>49</v>
      </c>
      <c r="E22" s="266">
        <v>244627</v>
      </c>
      <c r="F22" s="266">
        <v>244627</v>
      </c>
      <c r="G22" s="266">
        <v>244627</v>
      </c>
      <c r="H22" s="266">
        <v>244627</v>
      </c>
      <c r="I22" s="266">
        <v>244627</v>
      </c>
      <c r="J22" s="266">
        <v>244627</v>
      </c>
      <c r="K22" s="266">
        <v>244627</v>
      </c>
      <c r="L22" s="266">
        <v>244627</v>
      </c>
      <c r="O22" s="5"/>
      <c r="P22" s="322"/>
      <c r="Q22" s="322"/>
      <c r="R22" s="322"/>
      <c r="S22" s="322"/>
      <c r="U22" s="5"/>
      <c r="V22" s="323"/>
      <c r="W22" s="323"/>
      <c r="X22" s="323"/>
    </row>
    <row r="23" spans="2:24" ht="15.5" x14ac:dyDescent="0.35">
      <c r="B23" s="247" t="s">
        <v>40</v>
      </c>
      <c r="E23" s="267">
        <f t="shared" ref="E23:J23" si="3">E16-SUM(E18:E22)</f>
        <v>-651757.80000001797</v>
      </c>
      <c r="F23" s="268">
        <f t="shared" si="3"/>
        <v>-458840.60000000009</v>
      </c>
      <c r="G23" s="269">
        <f t="shared" si="3"/>
        <v>-1027710.6000000001</v>
      </c>
      <c r="H23" s="269">
        <f t="shared" si="3"/>
        <v>110029.40000000084</v>
      </c>
      <c r="I23" s="270">
        <f t="shared" si="3"/>
        <v>678899.39999999991</v>
      </c>
      <c r="J23" s="271">
        <f t="shared" si="3"/>
        <v>-101840.60000000009</v>
      </c>
      <c r="K23" s="271">
        <f>K16-SUM(K18:K22)</f>
        <v>182594.39999999991</v>
      </c>
      <c r="L23" s="271">
        <f>L16-SUM(L18:L22)</f>
        <v>467029.40000000084</v>
      </c>
      <c r="O23" s="5"/>
      <c r="P23" s="322"/>
      <c r="Q23" s="322"/>
      <c r="R23" s="322"/>
      <c r="S23" s="322"/>
      <c r="U23" s="5"/>
      <c r="V23" s="323"/>
      <c r="W23" s="323"/>
      <c r="X23" s="323"/>
    </row>
    <row r="24" spans="2:24" ht="16" thickBot="1" x14ac:dyDescent="0.4">
      <c r="B24" s="264"/>
      <c r="C24" s="265"/>
      <c r="D24" s="265"/>
      <c r="E24" s="272"/>
      <c r="F24" s="273"/>
      <c r="G24" s="274"/>
      <c r="H24" s="274"/>
      <c r="I24" s="275"/>
      <c r="J24" s="276"/>
      <c r="K24" s="276"/>
      <c r="L24" s="276"/>
      <c r="O24" s="5"/>
      <c r="P24" s="322"/>
      <c r="Q24" s="322"/>
      <c r="R24" s="322"/>
      <c r="S24" s="322"/>
      <c r="U24" s="5"/>
      <c r="V24" s="323"/>
      <c r="W24" s="323"/>
      <c r="X24" s="323"/>
    </row>
    <row r="27" spans="2:24" x14ac:dyDescent="0.3">
      <c r="I27" s="68"/>
    </row>
    <row r="28" spans="2:24" x14ac:dyDescent="0.3">
      <c r="I28" s="68"/>
    </row>
    <row r="30" spans="2:24" ht="21.75" customHeight="1" x14ac:dyDescent="0.3"/>
    <row r="31" spans="2:24" ht="13.5" thickBot="1" x14ac:dyDescent="0.35"/>
    <row r="32" spans="2:24" ht="15.5" x14ac:dyDescent="0.35">
      <c r="L32" s="1"/>
      <c r="M32" s="1"/>
      <c r="N32" s="1"/>
      <c r="O32" s="310" t="s">
        <v>1</v>
      </c>
      <c r="P32" s="311">
        <v>2021</v>
      </c>
    </row>
    <row r="33" spans="1:17" ht="15.5" x14ac:dyDescent="0.35">
      <c r="L33" s="1"/>
      <c r="M33" s="1"/>
      <c r="N33" s="1"/>
      <c r="O33" s="312" t="s">
        <v>6</v>
      </c>
      <c r="P33" s="313">
        <v>80000</v>
      </c>
    </row>
    <row r="34" spans="1:17" ht="15.5" x14ac:dyDescent="0.35">
      <c r="L34" s="1"/>
      <c r="M34" s="1"/>
      <c r="N34" s="1"/>
      <c r="O34" s="312" t="s">
        <v>7</v>
      </c>
      <c r="P34" s="313">
        <v>42000</v>
      </c>
    </row>
    <row r="35" spans="1:17" ht="16" thickBot="1" x14ac:dyDescent="0.4">
      <c r="L35" s="1"/>
      <c r="M35" s="1"/>
      <c r="N35" s="1"/>
      <c r="O35" s="314" t="s">
        <v>8</v>
      </c>
      <c r="P35" s="315">
        <v>63000</v>
      </c>
    </row>
    <row r="37" spans="1:17" ht="13.5" thickBot="1" x14ac:dyDescent="0.35"/>
    <row r="38" spans="1:17" ht="15.5" x14ac:dyDescent="0.35">
      <c r="O38" s="316" t="s">
        <v>231</v>
      </c>
      <c r="P38" s="317" t="s">
        <v>232</v>
      </c>
      <c r="Q38" s="318" t="s">
        <v>46</v>
      </c>
    </row>
    <row r="39" spans="1:17" ht="15.5" x14ac:dyDescent="0.35">
      <c r="O39" s="119" t="s">
        <v>6</v>
      </c>
      <c r="P39" s="47">
        <v>1</v>
      </c>
      <c r="Q39" s="313">
        <v>1</v>
      </c>
    </row>
    <row r="40" spans="1:17" ht="15.5" x14ac:dyDescent="0.35">
      <c r="O40" s="119" t="s">
        <v>7</v>
      </c>
      <c r="P40" s="47">
        <v>2</v>
      </c>
      <c r="Q40" s="313">
        <v>1</v>
      </c>
    </row>
    <row r="41" spans="1:17" ht="16" thickBot="1" x14ac:dyDescent="0.4">
      <c r="O41" s="319" t="s">
        <v>8</v>
      </c>
      <c r="P41" s="127">
        <v>9</v>
      </c>
      <c r="Q41" s="315">
        <v>4</v>
      </c>
    </row>
    <row r="45" spans="1:17" ht="18" x14ac:dyDescent="0.4">
      <c r="A45" s="2"/>
    </row>
    <row r="46" spans="1:17" ht="18" x14ac:dyDescent="0.4">
      <c r="A46" s="2"/>
    </row>
    <row r="47" spans="1:17" ht="18" x14ac:dyDescent="0.4">
      <c r="A47" s="2"/>
    </row>
    <row r="48" spans="1:17" ht="18" x14ac:dyDescent="0.4">
      <c r="A48" s="2"/>
    </row>
    <row r="49" spans="1:17" ht="18" x14ac:dyDescent="0.4">
      <c r="A49" s="2"/>
    </row>
    <row r="50" spans="1:17" ht="18" x14ac:dyDescent="0.4">
      <c r="A50" s="2"/>
    </row>
    <row r="51" spans="1:17" ht="18" x14ac:dyDescent="0.4">
      <c r="A51" s="2"/>
    </row>
    <row r="52" spans="1:17" ht="18" x14ac:dyDescent="0.4">
      <c r="A52" s="2"/>
    </row>
    <row r="53" spans="1:17" ht="18" x14ac:dyDescent="0.4">
      <c r="A53" s="2"/>
    </row>
    <row r="54" spans="1:17" ht="18" x14ac:dyDescent="0.4">
      <c r="A54" s="2"/>
    </row>
    <row r="55" spans="1:17" ht="18" x14ac:dyDescent="0.4">
      <c r="A55" s="2"/>
    </row>
    <row r="56" spans="1:17" ht="18" x14ac:dyDescent="0.4">
      <c r="A56" s="2"/>
      <c r="O56" s="2"/>
      <c r="P56" s="2"/>
      <c r="Q56" s="2"/>
    </row>
    <row r="57" spans="1:17" ht="18" x14ac:dyDescent="0.4">
      <c r="A57" s="2"/>
      <c r="O57" s="2"/>
      <c r="P57" s="2"/>
      <c r="Q57" s="2"/>
    </row>
    <row r="58" spans="1:17" ht="18" x14ac:dyDescent="0.4">
      <c r="A58" s="2"/>
      <c r="O58" s="2"/>
      <c r="P58" s="2"/>
      <c r="Q58" s="2"/>
    </row>
    <row r="59" spans="1:17" ht="18" x14ac:dyDescent="0.4">
      <c r="A59" s="2"/>
      <c r="B59" s="2"/>
      <c r="C59" s="2"/>
      <c r="D59" s="2"/>
      <c r="E59" s="2"/>
      <c r="F59" s="2"/>
      <c r="G59" s="2"/>
      <c r="H59" s="2"/>
      <c r="I59" s="2"/>
      <c r="J59" s="2"/>
      <c r="K59" s="2"/>
      <c r="L59" s="2"/>
      <c r="M59" s="2"/>
      <c r="N59" s="2"/>
      <c r="O59" s="2"/>
      <c r="P59" s="2"/>
      <c r="Q59" s="2"/>
    </row>
    <row r="60" spans="1:17" ht="18" x14ac:dyDescent="0.4">
      <c r="A60" s="2"/>
      <c r="B60" s="2"/>
      <c r="C60" s="2"/>
      <c r="D60" s="2"/>
      <c r="E60" s="2"/>
      <c r="F60" s="2"/>
      <c r="G60" s="2"/>
      <c r="H60" s="2"/>
      <c r="I60" s="2"/>
      <c r="J60" s="2"/>
      <c r="K60" s="2"/>
      <c r="L60" s="2"/>
      <c r="M60" s="2"/>
      <c r="N60" s="2"/>
      <c r="O60" s="2"/>
      <c r="P60" s="2"/>
      <c r="Q60" s="2"/>
    </row>
    <row r="61" spans="1:17" ht="18" x14ac:dyDescent="0.4">
      <c r="A61" s="2"/>
      <c r="B61" s="2"/>
      <c r="C61" s="2"/>
      <c r="D61" s="2"/>
      <c r="E61" s="2"/>
      <c r="F61" s="2"/>
      <c r="G61" s="2"/>
      <c r="H61" s="2"/>
      <c r="I61" s="2"/>
      <c r="J61" s="2"/>
      <c r="K61" s="2"/>
      <c r="L61" s="2"/>
      <c r="M61" s="2"/>
      <c r="N61" s="2"/>
      <c r="O61" s="2"/>
      <c r="P61" s="2"/>
      <c r="Q61" s="2"/>
    </row>
    <row r="62" spans="1:17" ht="18" x14ac:dyDescent="0.4">
      <c r="A62" s="2"/>
      <c r="B62" s="2"/>
      <c r="C62" s="2"/>
      <c r="D62" s="2"/>
      <c r="E62" s="2"/>
      <c r="F62" s="2"/>
      <c r="G62" s="2"/>
      <c r="H62" s="2"/>
      <c r="I62" s="2"/>
      <c r="J62" s="2"/>
      <c r="K62" s="2"/>
      <c r="L62" s="2"/>
      <c r="M62" s="2"/>
      <c r="N62" s="2"/>
      <c r="O62" s="2"/>
      <c r="P62" s="2"/>
      <c r="Q62" s="2"/>
    </row>
    <row r="63" spans="1:17" ht="18" x14ac:dyDescent="0.4">
      <c r="A63" s="2"/>
      <c r="B63" s="2"/>
      <c r="C63" s="2"/>
      <c r="D63" s="2"/>
      <c r="E63" s="2"/>
      <c r="F63" s="2"/>
      <c r="G63" s="2"/>
      <c r="H63" s="2"/>
      <c r="I63" s="2"/>
      <c r="J63" s="2"/>
      <c r="K63" s="2"/>
      <c r="L63" s="2"/>
      <c r="M63" s="2"/>
      <c r="N63" s="2"/>
      <c r="O63" s="2"/>
      <c r="P63" s="2"/>
      <c r="Q63" s="2"/>
    </row>
    <row r="64" spans="1:17" ht="18" x14ac:dyDescent="0.4">
      <c r="A64" s="2"/>
      <c r="B64" s="2"/>
      <c r="C64" s="2"/>
      <c r="D64" s="2"/>
      <c r="E64" s="2"/>
      <c r="F64" s="2"/>
      <c r="G64" s="2"/>
      <c r="H64" s="2"/>
      <c r="I64" s="2"/>
      <c r="J64" s="2"/>
      <c r="K64" s="2"/>
      <c r="L64" s="2"/>
      <c r="M64" s="2"/>
      <c r="N64" s="2"/>
      <c r="O64" s="2"/>
      <c r="P64" s="2"/>
      <c r="Q64" s="2"/>
    </row>
    <row r="65" spans="1:17" ht="18" x14ac:dyDescent="0.4">
      <c r="A65" s="2"/>
      <c r="B65" s="2"/>
      <c r="C65" s="2"/>
      <c r="D65" s="2"/>
      <c r="E65" s="2"/>
      <c r="F65" s="2"/>
      <c r="G65" s="2"/>
      <c r="H65" s="2"/>
      <c r="I65" s="2"/>
      <c r="J65" s="2"/>
      <c r="K65" s="2"/>
      <c r="L65" s="2"/>
      <c r="M65" s="2"/>
      <c r="N65" s="2"/>
      <c r="O65" s="2"/>
      <c r="P65" s="2"/>
      <c r="Q65" s="2"/>
    </row>
    <row r="66" spans="1:17" ht="18" x14ac:dyDescent="0.4">
      <c r="A66" s="2"/>
      <c r="B66" s="2"/>
      <c r="C66" s="2"/>
      <c r="D66" s="2"/>
      <c r="E66" s="2"/>
      <c r="F66" s="2"/>
      <c r="G66" s="2"/>
      <c r="H66" s="2"/>
      <c r="I66" s="2"/>
      <c r="J66" s="2"/>
      <c r="K66" s="2"/>
      <c r="L66" s="2"/>
      <c r="M66" s="2"/>
      <c r="N66" s="2"/>
      <c r="O66" s="2"/>
      <c r="P66" s="2"/>
      <c r="Q66" s="2"/>
    </row>
    <row r="67" spans="1:17" ht="18" x14ac:dyDescent="0.4">
      <c r="A67" s="2"/>
      <c r="B67" s="2"/>
      <c r="C67" s="2"/>
      <c r="D67" s="2"/>
      <c r="E67" s="2"/>
      <c r="F67" s="2"/>
      <c r="G67" s="2"/>
      <c r="H67" s="2"/>
      <c r="I67" s="2"/>
      <c r="J67" s="2"/>
      <c r="K67" s="2"/>
      <c r="L67" s="2"/>
      <c r="M67" s="2"/>
      <c r="N67" s="2"/>
      <c r="O67" s="2"/>
      <c r="P67" s="2"/>
      <c r="Q67" s="2"/>
    </row>
    <row r="68" spans="1:17" ht="18" x14ac:dyDescent="0.4">
      <c r="A68" s="2"/>
      <c r="B68" s="2"/>
      <c r="C68" s="2"/>
      <c r="D68" s="2"/>
      <c r="E68" s="2"/>
      <c r="F68" s="2"/>
      <c r="G68" s="2"/>
      <c r="H68" s="2"/>
      <c r="I68" s="2"/>
      <c r="J68" s="2"/>
      <c r="K68" s="2"/>
      <c r="L68" s="2"/>
      <c r="M68" s="2"/>
      <c r="N68" s="2"/>
      <c r="O68" s="2"/>
      <c r="P68" s="2"/>
      <c r="Q68" s="2"/>
    </row>
    <row r="69" spans="1:17" ht="18" x14ac:dyDescent="0.4">
      <c r="A69" s="2"/>
      <c r="B69" s="2"/>
      <c r="C69" s="2"/>
      <c r="D69" s="2"/>
      <c r="E69" s="2"/>
      <c r="F69" s="2"/>
      <c r="G69" s="2"/>
      <c r="H69" s="2"/>
      <c r="I69" s="2"/>
      <c r="J69" s="2"/>
      <c r="K69" s="2"/>
      <c r="L69" s="2"/>
      <c r="M69" s="2"/>
      <c r="N69" s="2"/>
      <c r="O69" s="2"/>
      <c r="P69" s="2"/>
      <c r="Q69" s="2"/>
    </row>
    <row r="70" spans="1:17" ht="18" x14ac:dyDescent="0.4">
      <c r="A70" s="2"/>
      <c r="B70" s="2"/>
      <c r="C70" s="2"/>
      <c r="D70" s="2"/>
      <c r="E70" s="2"/>
      <c r="F70" s="2"/>
      <c r="G70" s="2"/>
      <c r="H70" s="2"/>
      <c r="I70" s="2"/>
      <c r="J70" s="2"/>
      <c r="K70" s="2"/>
      <c r="L70" s="2"/>
      <c r="M70" s="2"/>
      <c r="N70" s="2"/>
      <c r="O70" s="2"/>
      <c r="P70" s="2"/>
      <c r="Q70" s="2"/>
    </row>
    <row r="71" spans="1:17" ht="18" x14ac:dyDescent="0.4">
      <c r="A71" s="2"/>
      <c r="B71" s="2"/>
      <c r="C71" s="2"/>
      <c r="D71" s="2"/>
      <c r="E71" s="2"/>
      <c r="F71" s="2"/>
      <c r="G71" s="2"/>
      <c r="H71" s="2"/>
      <c r="I71" s="2"/>
      <c r="J71" s="2"/>
      <c r="K71" s="2"/>
      <c r="L71" s="2"/>
      <c r="M71" s="2"/>
      <c r="N71" s="2"/>
      <c r="O71" s="2"/>
      <c r="P71" s="2"/>
      <c r="Q71" s="2"/>
    </row>
    <row r="72" spans="1:17" ht="18" x14ac:dyDescent="0.4">
      <c r="A72" s="2"/>
      <c r="B72" s="2"/>
      <c r="C72" s="2"/>
      <c r="D72" s="2"/>
      <c r="E72" s="2"/>
      <c r="F72" s="2"/>
      <c r="G72" s="2"/>
      <c r="H72" s="2"/>
      <c r="I72" s="2"/>
      <c r="J72" s="2"/>
      <c r="K72" s="2"/>
      <c r="L72" s="2"/>
      <c r="M72" s="2"/>
      <c r="N72" s="2"/>
      <c r="O72" s="2"/>
      <c r="P72" s="2"/>
      <c r="Q72" s="2"/>
    </row>
    <row r="73" spans="1:17" ht="18" x14ac:dyDescent="0.4">
      <c r="A73" s="2"/>
      <c r="B73" s="2"/>
      <c r="C73" s="2"/>
      <c r="D73" s="2"/>
      <c r="E73" s="2"/>
      <c r="F73" s="2"/>
      <c r="G73" s="2"/>
      <c r="H73" s="2"/>
      <c r="I73" s="2"/>
      <c r="J73" s="2"/>
      <c r="K73" s="2"/>
      <c r="L73" s="2"/>
      <c r="M73" s="2"/>
      <c r="N73" s="2"/>
      <c r="O73" s="2"/>
      <c r="P73" s="2"/>
      <c r="Q73" s="2"/>
    </row>
    <row r="74" spans="1:17" ht="18" x14ac:dyDescent="0.4">
      <c r="A74" s="2"/>
      <c r="B74" s="2"/>
      <c r="C74" s="2"/>
      <c r="D74" s="2"/>
      <c r="E74" s="2"/>
      <c r="F74" s="2"/>
      <c r="G74" s="2"/>
      <c r="H74" s="2"/>
      <c r="I74" s="2"/>
      <c r="J74" s="2"/>
      <c r="K74" s="2"/>
      <c r="L74" s="2"/>
      <c r="M74" s="2"/>
      <c r="N74" s="2"/>
      <c r="O74" s="2"/>
      <c r="P74" s="2"/>
      <c r="Q74" s="2"/>
    </row>
    <row r="75" spans="1:17" ht="18" x14ac:dyDescent="0.4">
      <c r="A75" s="2"/>
      <c r="B75" s="2"/>
      <c r="C75" s="2"/>
      <c r="D75" s="2"/>
      <c r="E75" s="2"/>
      <c r="F75" s="2"/>
      <c r="G75" s="2"/>
      <c r="H75" s="2"/>
      <c r="I75" s="2"/>
      <c r="J75" s="2"/>
      <c r="K75" s="2"/>
      <c r="L75" s="2"/>
      <c r="M75" s="2"/>
      <c r="N75" s="2"/>
      <c r="O75" s="2"/>
      <c r="P75" s="2"/>
      <c r="Q75" s="2"/>
    </row>
    <row r="76" spans="1:17" ht="18" x14ac:dyDescent="0.4">
      <c r="A76" s="2"/>
      <c r="B76" s="2"/>
      <c r="C76" s="2"/>
      <c r="D76" s="2"/>
      <c r="E76" s="2"/>
      <c r="F76" s="2"/>
      <c r="G76" s="2"/>
      <c r="H76" s="2"/>
      <c r="I76" s="2"/>
      <c r="J76" s="2"/>
      <c r="K76" s="2"/>
      <c r="L76" s="2"/>
      <c r="M76" s="2"/>
      <c r="N76" s="2"/>
      <c r="O76" s="2"/>
      <c r="P76" s="2"/>
      <c r="Q76" s="2"/>
    </row>
    <row r="77" spans="1:17" ht="18" x14ac:dyDescent="0.4">
      <c r="A77" s="2"/>
      <c r="B77" s="2"/>
      <c r="C77" s="2"/>
      <c r="D77" s="2"/>
      <c r="E77" s="2"/>
      <c r="F77" s="2"/>
      <c r="G77" s="2"/>
      <c r="H77" s="2"/>
      <c r="I77" s="2"/>
      <c r="J77" s="2"/>
      <c r="K77" s="2"/>
      <c r="L77" s="2"/>
      <c r="M77" s="2"/>
      <c r="N77" s="2"/>
      <c r="O77" s="2"/>
      <c r="P77" s="2"/>
      <c r="Q77" s="2"/>
    </row>
    <row r="78" spans="1:17" ht="18" x14ac:dyDescent="0.4">
      <c r="A78" s="2"/>
      <c r="B78" s="2"/>
      <c r="C78" s="2"/>
      <c r="D78" s="2"/>
      <c r="E78" s="2"/>
      <c r="F78" s="2"/>
      <c r="G78" s="2"/>
      <c r="H78" s="2"/>
      <c r="I78" s="2"/>
      <c r="J78" s="2"/>
      <c r="K78" s="2"/>
      <c r="L78" s="2"/>
      <c r="M78" s="2"/>
      <c r="N78" s="2"/>
      <c r="O78" s="2"/>
      <c r="P78" s="2"/>
      <c r="Q78" s="2"/>
    </row>
    <row r="79" spans="1:17" ht="18" x14ac:dyDescent="0.4">
      <c r="A79" s="2"/>
      <c r="B79" s="2"/>
      <c r="C79" s="2"/>
      <c r="D79" s="2"/>
      <c r="E79" s="2"/>
      <c r="F79" s="2"/>
      <c r="G79" s="2"/>
      <c r="H79" s="2"/>
      <c r="I79" s="2"/>
      <c r="J79" s="2"/>
      <c r="K79" s="2"/>
      <c r="L79" s="2"/>
      <c r="M79" s="2"/>
      <c r="N79" s="2"/>
      <c r="O79" s="2"/>
      <c r="P79" s="2"/>
      <c r="Q79" s="2"/>
    </row>
    <row r="80" spans="1:17" ht="18" x14ac:dyDescent="0.4">
      <c r="A80" s="2"/>
      <c r="B80" s="2"/>
      <c r="C80" s="2"/>
      <c r="D80" s="2"/>
      <c r="E80" s="2"/>
      <c r="F80" s="2"/>
      <c r="G80" s="2"/>
      <c r="H80" s="2"/>
      <c r="I80" s="2"/>
      <c r="J80" s="2"/>
      <c r="K80" s="2"/>
      <c r="L80" s="2"/>
      <c r="M80" s="2"/>
      <c r="N80" s="2"/>
      <c r="O80" s="2"/>
      <c r="P80" s="2"/>
      <c r="Q80" s="2"/>
    </row>
    <row r="81" spans="1:17" ht="18" x14ac:dyDescent="0.4">
      <c r="A81" s="2"/>
      <c r="B81" s="2"/>
      <c r="C81" s="2"/>
      <c r="D81" s="2"/>
      <c r="E81" s="2"/>
      <c r="F81" s="2"/>
      <c r="G81" s="2"/>
      <c r="H81" s="2"/>
      <c r="I81" s="2"/>
      <c r="J81" s="2"/>
      <c r="K81" s="2"/>
      <c r="L81" s="2"/>
      <c r="M81" s="2"/>
      <c r="N81" s="2"/>
      <c r="O81" s="2"/>
      <c r="P81" s="2"/>
      <c r="Q81" s="2"/>
    </row>
    <row r="82" spans="1:17" ht="18" x14ac:dyDescent="0.4">
      <c r="A82" s="2"/>
      <c r="B82" s="2"/>
      <c r="C82" s="2"/>
      <c r="D82" s="2"/>
      <c r="E82" s="2"/>
      <c r="F82" s="2"/>
      <c r="G82" s="2"/>
      <c r="H82" s="2"/>
      <c r="I82" s="2"/>
      <c r="J82" s="2"/>
      <c r="K82" s="2"/>
      <c r="L82" s="2"/>
      <c r="M82" s="2"/>
      <c r="N82" s="2"/>
      <c r="O82" s="2"/>
      <c r="P82" s="2"/>
      <c r="Q82" s="2"/>
    </row>
    <row r="83" spans="1:17" ht="18" x14ac:dyDescent="0.4">
      <c r="A83" s="2"/>
      <c r="B83" s="2"/>
      <c r="C83" s="2"/>
      <c r="D83" s="2"/>
      <c r="E83" s="2"/>
      <c r="F83" s="2"/>
      <c r="G83" s="2"/>
      <c r="H83" s="2"/>
      <c r="I83" s="2"/>
      <c r="J83" s="2"/>
      <c r="K83" s="2"/>
      <c r="L83" s="2"/>
      <c r="M83" s="2"/>
      <c r="N83" s="2"/>
      <c r="O83" s="2"/>
      <c r="P83" s="2"/>
      <c r="Q83" s="2"/>
    </row>
    <row r="84" spans="1:17" ht="18" x14ac:dyDescent="0.4">
      <c r="A84" s="2"/>
      <c r="B84" s="2"/>
      <c r="C84" s="2"/>
      <c r="D84" s="2"/>
      <c r="E84" s="2"/>
      <c r="F84" s="2"/>
      <c r="G84" s="2"/>
      <c r="H84" s="2"/>
      <c r="I84" s="2"/>
      <c r="J84" s="2"/>
      <c r="K84" s="2"/>
      <c r="L84" s="2"/>
      <c r="M84" s="2"/>
      <c r="N84" s="2"/>
      <c r="O84" s="2"/>
      <c r="P84" s="2"/>
      <c r="Q84" s="2"/>
    </row>
    <row r="85" spans="1:17" ht="18" x14ac:dyDescent="0.4">
      <c r="A85" s="2"/>
      <c r="B85" s="2"/>
      <c r="C85" s="2"/>
      <c r="D85" s="2"/>
      <c r="E85" s="2"/>
      <c r="F85" s="2"/>
      <c r="G85" s="2"/>
      <c r="H85" s="2"/>
      <c r="I85" s="2"/>
      <c r="J85" s="2"/>
      <c r="K85" s="2"/>
      <c r="L85" s="2"/>
      <c r="M85" s="2"/>
      <c r="N85" s="2"/>
      <c r="O85" s="2"/>
      <c r="P85" s="2"/>
      <c r="Q85" s="2"/>
    </row>
  </sheetData>
  <scenarios current="0" show="0" sqref="J24">
    <scenario name="0% Growth" locked="1" count="2" user="Singwhat Tee" comment="Created by Singwhat Tee on 9/5/96_x000a_Modified by Singwhat Tee on 9/5/96_x000a_Modified by Singwhat Tee on 9/9/96_x000a_Modified by Singwhat Tee on 21/05/2017">
      <inputCells r="J13" val="5019643" numFmtId="38"/>
      <inputCells r="J18" val="374000"/>
    </scenario>
    <scenario name="10% Decrease" locked="1" count="2" user="Singwhat Tee" comment="Created by Singwhat Tee on 9/5/96_x000a_Modified by Singwhat Tee on 9/5/96_x000a_Modified by Singwhat Tee on 9/9/96">
      <inputCells r="J13" val="5119830" numFmtId="38"/>
      <inputCells r="J18" val="374000" numFmtId="38"/>
    </scenario>
    <scenario name="10% Increase" locked="1" count="2" user="Singwhat Tee" comment="Created by Singwhat Tee on 9/5/96_x000a_Modified by Singwhat Tee on 9/5/96_x000a_Modified by Singwhat Tee on 9/9/96">
      <inputCells r="J13" val="6257570" numFmtId="38"/>
      <inputCells r="J18" val="374000" numFmtId="38"/>
    </scenario>
    <scenario name="20% Increase" locked="1" count="2" user="Singwhat Tee" comment="Created by Singwhat Tee on 9/5/96_x000a_Modified by Singwhat Tee on 9/5/96_x000a_Modified by Singwhat Tee on 9/9/96">
      <inputCells r="J13" val="6826440" numFmtId="38"/>
      <inputCells r="J18" val="374000" numFmtId="38"/>
    </scenario>
  </scenarios>
  <mergeCells count="1">
    <mergeCell ref="E10:I10"/>
  </mergeCells>
  <phoneticPr fontId="13" type="noConversion"/>
  <pageMargins left="0.75" right="0.75" top="1.99" bottom="1" header="0.5" footer="0.5"/>
  <pageSetup paperSize="9" scale="50" orientation="portrait" horizontalDpi="360" r:id="rId1"/>
  <headerFooter alignWithMargins="0">
    <oddHeader>&amp;R&amp;14M1</oddHeader>
  </headerFooter>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2:F70"/>
  <sheetViews>
    <sheetView topLeftCell="A18" workbookViewId="0">
      <selection activeCell="E70" sqref="E70"/>
    </sheetView>
  </sheetViews>
  <sheetFormatPr defaultRowHeight="12.5" x14ac:dyDescent="0.25"/>
  <cols>
    <col min="1" max="1" width="12.1796875" customWidth="1"/>
    <col min="2" max="2" width="18" customWidth="1"/>
    <col min="3" max="3" width="12.54296875" bestFit="1" customWidth="1"/>
    <col min="4" max="4" width="12.26953125" bestFit="1" customWidth="1"/>
    <col min="5" max="5" width="12.7265625" customWidth="1"/>
  </cols>
  <sheetData>
    <row r="2" spans="1:6" ht="17.5" x14ac:dyDescent="0.35">
      <c r="A2" s="3" t="s">
        <v>19</v>
      </c>
      <c r="B2" s="3"/>
      <c r="C2" s="1" t="s">
        <v>20</v>
      </c>
      <c r="D2" s="1" t="s">
        <v>20</v>
      </c>
      <c r="E2" s="1"/>
    </row>
    <row r="3" spans="1:6" ht="16" thickBot="1" x14ac:dyDescent="0.4">
      <c r="A3" s="6" t="s">
        <v>21</v>
      </c>
      <c r="B3" s="6"/>
      <c r="C3" s="1"/>
      <c r="D3" s="1"/>
      <c r="E3" s="1"/>
    </row>
    <row r="4" spans="1:6" ht="16" thickBot="1" x14ac:dyDescent="0.4">
      <c r="A4" s="15" t="s">
        <v>1</v>
      </c>
      <c r="B4" s="10" t="s">
        <v>2</v>
      </c>
      <c r="C4" s="10" t="s">
        <v>3</v>
      </c>
      <c r="D4" s="10" t="s">
        <v>4</v>
      </c>
      <c r="E4" s="11" t="s">
        <v>5</v>
      </c>
    </row>
    <row r="5" spans="1:6" ht="16" thickBot="1" x14ac:dyDescent="0.35">
      <c r="A5" s="16" t="s">
        <v>100</v>
      </c>
      <c r="B5" s="87">
        <v>3830</v>
      </c>
      <c r="C5" s="87">
        <v>3680</v>
      </c>
      <c r="D5" s="87">
        <v>3190</v>
      </c>
      <c r="E5" s="87">
        <v>2810</v>
      </c>
      <c r="F5" s="35" t="s">
        <v>106</v>
      </c>
    </row>
    <row r="6" spans="1:6" ht="16" thickBot="1" x14ac:dyDescent="0.35">
      <c r="A6" s="16" t="s">
        <v>50</v>
      </c>
      <c r="B6" s="87">
        <v>3575</v>
      </c>
      <c r="C6" s="88">
        <v>3590</v>
      </c>
      <c r="D6" s="88">
        <v>2845</v>
      </c>
      <c r="E6" s="88">
        <v>2466</v>
      </c>
    </row>
    <row r="7" spans="1:6" ht="16" thickBot="1" x14ac:dyDescent="0.35">
      <c r="A7" s="16" t="s">
        <v>51</v>
      </c>
      <c r="B7" s="89">
        <v>3598</v>
      </c>
      <c r="C7" s="90">
        <v>3866</v>
      </c>
      <c r="D7" s="90">
        <v>3445</v>
      </c>
      <c r="E7" s="90">
        <v>2639</v>
      </c>
    </row>
    <row r="8" spans="1:6" ht="16" thickBot="1" x14ac:dyDescent="0.35">
      <c r="A8" s="16" t="s">
        <v>52</v>
      </c>
      <c r="B8" s="89">
        <v>3742</v>
      </c>
      <c r="C8" s="90">
        <v>3202</v>
      </c>
      <c r="D8" s="90">
        <v>2836</v>
      </c>
      <c r="E8" s="90">
        <v>2261</v>
      </c>
    </row>
    <row r="9" spans="1:6" ht="16" thickBot="1" x14ac:dyDescent="0.35">
      <c r="A9" s="16" t="s">
        <v>53</v>
      </c>
      <c r="B9" s="89">
        <v>3507</v>
      </c>
      <c r="C9" s="90">
        <v>3735</v>
      </c>
      <c r="D9" s="90">
        <v>3403</v>
      </c>
      <c r="E9" s="90">
        <v>2696</v>
      </c>
    </row>
    <row r="10" spans="1:6" ht="16" thickBot="1" x14ac:dyDescent="0.35">
      <c r="A10" s="294" t="s">
        <v>54</v>
      </c>
      <c r="B10" s="295">
        <f>4108*105%</f>
        <v>4313.4000000000005</v>
      </c>
      <c r="C10" s="296">
        <f>3064*105%</f>
        <v>3217.2000000000003</v>
      </c>
      <c r="D10" s="296">
        <f>3070*105%</f>
        <v>3223.5</v>
      </c>
      <c r="E10" s="296">
        <f>2448*105%</f>
        <v>2570.4</v>
      </c>
    </row>
    <row r="11" spans="1:6" ht="16" thickBot="1" x14ac:dyDescent="0.35">
      <c r="A11" s="16" t="s">
        <v>55</v>
      </c>
      <c r="B11" s="89">
        <v>4062</v>
      </c>
      <c r="C11" s="90">
        <v>3350</v>
      </c>
      <c r="D11" s="90">
        <v>2901</v>
      </c>
      <c r="E11" s="90">
        <v>2315</v>
      </c>
    </row>
    <row r="12" spans="1:6" ht="16" thickBot="1" x14ac:dyDescent="0.35">
      <c r="A12" s="16" t="s">
        <v>56</v>
      </c>
      <c r="B12" s="89">
        <v>4055</v>
      </c>
      <c r="C12" s="90">
        <v>3228</v>
      </c>
      <c r="D12" s="90">
        <v>3029</v>
      </c>
      <c r="E12" s="90">
        <v>2393</v>
      </c>
    </row>
    <row r="13" spans="1:6" ht="16" thickBot="1" x14ac:dyDescent="0.35">
      <c r="A13" s="16" t="s">
        <v>57</v>
      </c>
      <c r="B13" s="89">
        <v>3772</v>
      </c>
      <c r="C13" s="90">
        <v>3395</v>
      </c>
      <c r="D13" s="90">
        <v>3155</v>
      </c>
      <c r="E13" s="90">
        <v>2190</v>
      </c>
    </row>
    <row r="14" spans="1:6" ht="16" thickBot="1" x14ac:dyDescent="0.35">
      <c r="A14" s="16" t="s">
        <v>58</v>
      </c>
      <c r="B14" s="89">
        <v>3527</v>
      </c>
      <c r="C14" s="90">
        <v>3220</v>
      </c>
      <c r="D14" s="90">
        <v>3230</v>
      </c>
      <c r="E14" s="90">
        <v>2224</v>
      </c>
    </row>
    <row r="15" spans="1:6" ht="16" thickBot="1" x14ac:dyDescent="0.35">
      <c r="A15" s="16" t="s">
        <v>59</v>
      </c>
      <c r="B15" s="89">
        <v>3808</v>
      </c>
      <c r="C15" s="90">
        <v>3809</v>
      </c>
      <c r="D15" s="90">
        <v>3336</v>
      </c>
      <c r="E15" s="90">
        <v>2274</v>
      </c>
    </row>
    <row r="16" spans="1:6" ht="16" thickBot="1" x14ac:dyDescent="0.35">
      <c r="A16" s="16" t="s">
        <v>60</v>
      </c>
      <c r="B16" s="89">
        <v>4160</v>
      </c>
      <c r="C16" s="90">
        <v>3395</v>
      </c>
      <c r="D16" s="90">
        <v>2939</v>
      </c>
      <c r="E16" s="90">
        <v>2514</v>
      </c>
    </row>
    <row r="17" spans="1:5" ht="16" thickBot="1" x14ac:dyDescent="0.35">
      <c r="A17" s="16" t="s">
        <v>61</v>
      </c>
      <c r="B17" s="89">
        <v>3646</v>
      </c>
      <c r="C17" s="90">
        <v>3438</v>
      </c>
      <c r="D17" s="90">
        <v>2826</v>
      </c>
      <c r="E17" s="90">
        <v>2427</v>
      </c>
    </row>
    <row r="18" spans="1:5" ht="16" thickBot="1" x14ac:dyDescent="0.35">
      <c r="A18" s="16" t="s">
        <v>62</v>
      </c>
      <c r="B18" s="89">
        <v>4075</v>
      </c>
      <c r="C18" s="90">
        <v>3653</v>
      </c>
      <c r="D18" s="90">
        <v>3071</v>
      </c>
      <c r="E18" s="90">
        <v>2161</v>
      </c>
    </row>
    <row r="19" spans="1:5" ht="16" thickBot="1" x14ac:dyDescent="0.35">
      <c r="A19" s="16" t="s">
        <v>63</v>
      </c>
      <c r="B19" s="89">
        <v>4249</v>
      </c>
      <c r="C19" s="90">
        <v>3036</v>
      </c>
      <c r="D19" s="90">
        <v>3248</v>
      </c>
      <c r="E19" s="90">
        <v>2582</v>
      </c>
    </row>
    <row r="20" spans="1:5" ht="16" thickBot="1" x14ac:dyDescent="0.35">
      <c r="A20" s="16" t="s">
        <v>64</v>
      </c>
      <c r="B20" s="89">
        <v>3629</v>
      </c>
      <c r="C20" s="90">
        <v>3357</v>
      </c>
      <c r="D20" s="90">
        <v>2891</v>
      </c>
      <c r="E20" s="90">
        <v>2638</v>
      </c>
    </row>
    <row r="21" spans="1:5" ht="16" thickBot="1" x14ac:dyDescent="0.35">
      <c r="A21" s="16" t="s">
        <v>65</v>
      </c>
      <c r="B21" s="89">
        <v>4204</v>
      </c>
      <c r="C21" s="90">
        <v>3126</v>
      </c>
      <c r="D21" s="90">
        <v>3222</v>
      </c>
      <c r="E21" s="90">
        <v>2447</v>
      </c>
    </row>
    <row r="22" spans="1:5" ht="16" thickBot="1" x14ac:dyDescent="0.35">
      <c r="A22" s="16" t="s">
        <v>66</v>
      </c>
      <c r="B22" s="89">
        <v>3968</v>
      </c>
      <c r="C22" s="90">
        <v>3974</v>
      </c>
      <c r="D22" s="90">
        <v>3010</v>
      </c>
      <c r="E22" s="90">
        <v>2106</v>
      </c>
    </row>
    <row r="23" spans="1:5" ht="16" thickBot="1" x14ac:dyDescent="0.35">
      <c r="A23" s="16" t="s">
        <v>67</v>
      </c>
      <c r="B23" s="89">
        <v>3646</v>
      </c>
      <c r="C23" s="90">
        <v>3482</v>
      </c>
      <c r="D23" s="90">
        <v>3199</v>
      </c>
      <c r="E23" s="90">
        <v>2786</v>
      </c>
    </row>
    <row r="24" spans="1:5" ht="16" thickBot="1" x14ac:dyDescent="0.35">
      <c r="A24" s="16" t="s">
        <v>68</v>
      </c>
      <c r="B24" s="89">
        <v>3857</v>
      </c>
      <c r="C24" s="90">
        <v>3626</v>
      </c>
      <c r="D24" s="90">
        <v>3332</v>
      </c>
      <c r="E24" s="90">
        <v>2404</v>
      </c>
    </row>
    <row r="25" spans="1:5" ht="16" thickBot="1" x14ac:dyDescent="0.35">
      <c r="A25" s="16" t="s">
        <v>69</v>
      </c>
      <c r="B25" s="89">
        <v>4199</v>
      </c>
      <c r="C25" s="90">
        <v>3393</v>
      </c>
      <c r="D25" s="90">
        <v>3357</v>
      </c>
      <c r="E25" s="90">
        <v>2036</v>
      </c>
    </row>
    <row r="26" spans="1:5" ht="16" thickBot="1" x14ac:dyDescent="0.35">
      <c r="A26" s="16" t="s">
        <v>70</v>
      </c>
      <c r="B26" s="89">
        <v>3762</v>
      </c>
      <c r="C26" s="90">
        <v>3302</v>
      </c>
      <c r="D26" s="90">
        <v>3033</v>
      </c>
      <c r="E26" s="90">
        <v>2382</v>
      </c>
    </row>
    <row r="27" spans="1:5" ht="16" thickBot="1" x14ac:dyDescent="0.35">
      <c r="A27" s="16" t="s">
        <v>71</v>
      </c>
      <c r="B27" s="89">
        <v>3852</v>
      </c>
      <c r="C27" s="90">
        <v>3254</v>
      </c>
      <c r="D27" s="90">
        <v>3460</v>
      </c>
      <c r="E27" s="90">
        <v>2194</v>
      </c>
    </row>
    <row r="28" spans="1:5" ht="16" thickBot="1" x14ac:dyDescent="0.35">
      <c r="A28" s="16" t="s">
        <v>72</v>
      </c>
      <c r="B28" s="89">
        <v>3949</v>
      </c>
      <c r="C28" s="90">
        <v>3165</v>
      </c>
      <c r="D28" s="90">
        <v>2826</v>
      </c>
      <c r="E28" s="90">
        <v>2084</v>
      </c>
    </row>
    <row r="29" spans="1:5" ht="16" thickBot="1" x14ac:dyDescent="0.35">
      <c r="A29" s="16" t="s">
        <v>73</v>
      </c>
      <c r="B29" s="89">
        <v>4372</v>
      </c>
      <c r="C29" s="90">
        <v>3679</v>
      </c>
      <c r="D29" s="90">
        <v>3442</v>
      </c>
      <c r="E29" s="90">
        <v>2140</v>
      </c>
    </row>
    <row r="30" spans="1:5" ht="16" thickBot="1" x14ac:dyDescent="0.35">
      <c r="A30" s="16" t="s">
        <v>74</v>
      </c>
      <c r="B30" s="89">
        <v>3709</v>
      </c>
      <c r="C30" s="90">
        <v>3333</v>
      </c>
      <c r="D30" s="90">
        <v>3163</v>
      </c>
      <c r="E30" s="90">
        <v>2192</v>
      </c>
    </row>
    <row r="31" spans="1:5" ht="16" thickBot="1" x14ac:dyDescent="0.35">
      <c r="A31" s="16" t="s">
        <v>114</v>
      </c>
      <c r="B31" s="89">
        <v>3588</v>
      </c>
      <c r="C31" s="90">
        <v>3580</v>
      </c>
      <c r="D31" s="90">
        <v>3267</v>
      </c>
      <c r="E31" s="90">
        <v>2471</v>
      </c>
    </row>
    <row r="32" spans="1:5" ht="16" thickBot="1" x14ac:dyDescent="0.35">
      <c r="A32" s="16" t="s">
        <v>115</v>
      </c>
      <c r="B32" s="89">
        <v>3892</v>
      </c>
      <c r="C32" s="90">
        <v>3025</v>
      </c>
      <c r="D32" s="90">
        <v>3191</v>
      </c>
      <c r="E32" s="90">
        <v>2369</v>
      </c>
    </row>
    <row r="33" spans="1:5" ht="16" thickBot="1" x14ac:dyDescent="0.35">
      <c r="A33" s="16" t="s">
        <v>116</v>
      </c>
      <c r="B33" s="89">
        <v>3678</v>
      </c>
      <c r="C33" s="90">
        <v>3570</v>
      </c>
      <c r="D33" s="90">
        <v>3217</v>
      </c>
      <c r="E33" s="90">
        <v>2633</v>
      </c>
    </row>
    <row r="34" spans="1:5" ht="16" thickBot="1" x14ac:dyDescent="0.35">
      <c r="A34" s="16" t="s">
        <v>117</v>
      </c>
      <c r="B34" s="89">
        <v>4003</v>
      </c>
      <c r="C34" s="90">
        <v>3225</v>
      </c>
      <c r="D34" s="90">
        <v>3379</v>
      </c>
      <c r="E34" s="90">
        <v>2693</v>
      </c>
    </row>
    <row r="35" spans="1:5" ht="16" thickBot="1" x14ac:dyDescent="0.35">
      <c r="A35" s="16" t="s">
        <v>118</v>
      </c>
      <c r="B35" s="89">
        <v>4083</v>
      </c>
      <c r="C35" s="90">
        <v>3105</v>
      </c>
      <c r="D35" s="90">
        <v>3373</v>
      </c>
      <c r="E35" s="90">
        <v>2758</v>
      </c>
    </row>
    <row r="36" spans="1:5" ht="16" thickBot="1" x14ac:dyDescent="0.35">
      <c r="A36" s="16" t="s">
        <v>119</v>
      </c>
      <c r="B36" s="89">
        <v>4009</v>
      </c>
      <c r="C36" s="90">
        <v>3974</v>
      </c>
      <c r="D36" s="90">
        <v>3250</v>
      </c>
      <c r="E36" s="90">
        <v>2258</v>
      </c>
    </row>
    <row r="37" spans="1:5" ht="16" thickBot="1" x14ac:dyDescent="0.35">
      <c r="A37" s="16" t="s">
        <v>120</v>
      </c>
      <c r="B37" s="89">
        <v>4155</v>
      </c>
      <c r="C37" s="90">
        <v>3075</v>
      </c>
      <c r="D37" s="90">
        <v>3356</v>
      </c>
      <c r="E37" s="90">
        <v>2263</v>
      </c>
    </row>
    <row r="38" spans="1:5" ht="16" thickBot="1" x14ac:dyDescent="0.35">
      <c r="A38" s="16" t="s">
        <v>121</v>
      </c>
      <c r="B38" s="89">
        <v>4320</v>
      </c>
      <c r="C38" s="90">
        <v>3513</v>
      </c>
      <c r="D38" s="90">
        <v>3116</v>
      </c>
      <c r="E38" s="90">
        <v>2222</v>
      </c>
    </row>
    <row r="39" spans="1:5" ht="16" thickBot="1" x14ac:dyDescent="0.35">
      <c r="A39" s="16" t="s">
        <v>122</v>
      </c>
      <c r="B39" s="89">
        <v>4441</v>
      </c>
      <c r="C39" s="90">
        <v>3741</v>
      </c>
      <c r="D39" s="90">
        <v>2996</v>
      </c>
      <c r="E39" s="90">
        <v>2217</v>
      </c>
    </row>
    <row r="40" spans="1:5" ht="16" thickBot="1" x14ac:dyDescent="0.35">
      <c r="A40" s="16" t="s">
        <v>123</v>
      </c>
      <c r="B40" s="89">
        <v>3959</v>
      </c>
      <c r="C40" s="90">
        <v>3446</v>
      </c>
      <c r="D40" s="90">
        <v>2875</v>
      </c>
      <c r="E40" s="90">
        <v>2732</v>
      </c>
    </row>
    <row r="41" spans="1:5" ht="16" thickBot="1" x14ac:dyDescent="0.35">
      <c r="A41" s="16" t="s">
        <v>127</v>
      </c>
      <c r="B41" s="89">
        <v>4438</v>
      </c>
      <c r="C41" s="90">
        <v>3639</v>
      </c>
      <c r="D41" s="90">
        <v>2912</v>
      </c>
      <c r="E41" s="90">
        <v>2765</v>
      </c>
    </row>
    <row r="42" spans="1:5" ht="16" thickBot="1" x14ac:dyDescent="0.35">
      <c r="A42" s="16" t="s">
        <v>128</v>
      </c>
      <c r="B42" s="89">
        <v>4305</v>
      </c>
      <c r="C42" s="90">
        <v>3283</v>
      </c>
      <c r="D42" s="90">
        <v>3384</v>
      </c>
      <c r="E42" s="90">
        <v>2194</v>
      </c>
    </row>
    <row r="43" spans="1:5" ht="16" thickBot="1" x14ac:dyDescent="0.35">
      <c r="A43" s="16" t="s">
        <v>129</v>
      </c>
      <c r="B43" s="89">
        <v>4159</v>
      </c>
      <c r="C43" s="90">
        <v>3382</v>
      </c>
      <c r="D43" s="90">
        <v>3437</v>
      </c>
      <c r="E43" s="90">
        <v>2159</v>
      </c>
    </row>
    <row r="44" spans="1:5" ht="16" thickBot="1" x14ac:dyDescent="0.35">
      <c r="A44" s="16" t="s">
        <v>130</v>
      </c>
      <c r="B44" s="89">
        <v>4498</v>
      </c>
      <c r="C44" s="90">
        <v>3554</v>
      </c>
      <c r="D44" s="90">
        <v>3475</v>
      </c>
      <c r="E44" s="90">
        <v>2156</v>
      </c>
    </row>
    <row r="45" spans="1:5" ht="16" thickBot="1" x14ac:dyDescent="0.35">
      <c r="A45" s="16" t="s">
        <v>131</v>
      </c>
      <c r="B45" s="89">
        <v>4373</v>
      </c>
      <c r="C45" s="90">
        <v>3720</v>
      </c>
      <c r="D45" s="90">
        <v>2944</v>
      </c>
      <c r="E45" s="90">
        <v>2011</v>
      </c>
    </row>
    <row r="46" spans="1:5" ht="16" thickBot="1" x14ac:dyDescent="0.35">
      <c r="A46" s="16" t="s">
        <v>132</v>
      </c>
      <c r="B46" s="89">
        <v>4311</v>
      </c>
      <c r="C46" s="90">
        <v>3902</v>
      </c>
      <c r="D46" s="90">
        <v>3429</v>
      </c>
      <c r="E46" s="90">
        <v>2759</v>
      </c>
    </row>
    <row r="47" spans="1:5" ht="16" thickBot="1" x14ac:dyDescent="0.35">
      <c r="A47" s="16" t="s">
        <v>133</v>
      </c>
      <c r="B47" s="89">
        <v>3979</v>
      </c>
      <c r="C47" s="90">
        <v>3715</v>
      </c>
      <c r="D47" s="90">
        <v>3330</v>
      </c>
      <c r="E47" s="90">
        <v>2524</v>
      </c>
    </row>
    <row r="48" spans="1:5" ht="16" thickBot="1" x14ac:dyDescent="0.35">
      <c r="A48" s="16" t="s">
        <v>134</v>
      </c>
      <c r="B48" s="89">
        <v>4364</v>
      </c>
      <c r="C48" s="90">
        <v>3603</v>
      </c>
      <c r="D48" s="90">
        <v>2954</v>
      </c>
      <c r="E48" s="90">
        <v>2686</v>
      </c>
    </row>
    <row r="49" spans="1:5" ht="16" thickBot="1" x14ac:dyDescent="0.35">
      <c r="A49" s="16" t="s">
        <v>135</v>
      </c>
      <c r="B49" s="89">
        <v>3867</v>
      </c>
      <c r="C49" s="90">
        <v>3545</v>
      </c>
      <c r="D49" s="90">
        <v>3258</v>
      </c>
      <c r="E49" s="90">
        <v>2753</v>
      </c>
    </row>
    <row r="50" spans="1:5" ht="16" thickBot="1" x14ac:dyDescent="0.35">
      <c r="A50" s="16" t="s">
        <v>136</v>
      </c>
      <c r="B50" s="89">
        <v>4426</v>
      </c>
      <c r="C50" s="90">
        <v>3560</v>
      </c>
      <c r="D50" s="90">
        <v>3317</v>
      </c>
      <c r="E50" s="90">
        <v>2569</v>
      </c>
    </row>
    <row r="51" spans="1:5" ht="16" thickBot="1" x14ac:dyDescent="0.35">
      <c r="A51" s="16" t="s">
        <v>137</v>
      </c>
      <c r="B51" s="89">
        <v>4166</v>
      </c>
      <c r="C51" s="90">
        <v>3579</v>
      </c>
      <c r="D51" s="90">
        <v>3437</v>
      </c>
      <c r="E51" s="90">
        <v>2592</v>
      </c>
    </row>
    <row r="52" spans="1:5" ht="16" thickBot="1" x14ac:dyDescent="0.35">
      <c r="A52" s="16" t="s">
        <v>138</v>
      </c>
      <c r="B52" s="89">
        <v>3561</v>
      </c>
      <c r="C52" s="90">
        <v>3263</v>
      </c>
      <c r="D52" s="90">
        <v>3336</v>
      </c>
      <c r="E52" s="90">
        <v>2396</v>
      </c>
    </row>
    <row r="53" spans="1:5" ht="16" thickBot="1" x14ac:dyDescent="0.35">
      <c r="A53" s="16" t="s">
        <v>139</v>
      </c>
      <c r="B53" s="89">
        <v>4456</v>
      </c>
      <c r="C53" s="90">
        <v>3716</v>
      </c>
      <c r="D53" s="90">
        <v>3156</v>
      </c>
      <c r="E53" s="90">
        <v>2362</v>
      </c>
    </row>
    <row r="54" spans="1:5" ht="16" thickBot="1" x14ac:dyDescent="0.35">
      <c r="A54" s="16" t="s">
        <v>140</v>
      </c>
      <c r="B54" s="89">
        <v>4373</v>
      </c>
      <c r="C54" s="90">
        <v>3200</v>
      </c>
      <c r="D54" s="90">
        <v>3321</v>
      </c>
      <c r="E54" s="90">
        <v>2485</v>
      </c>
    </row>
    <row r="55" spans="1:5" ht="16" thickBot="1" x14ac:dyDescent="0.35">
      <c r="A55" s="16" t="s">
        <v>141</v>
      </c>
      <c r="B55" s="89">
        <v>3523</v>
      </c>
      <c r="C55" s="90">
        <v>3213</v>
      </c>
      <c r="D55" s="90">
        <v>3324</v>
      </c>
      <c r="E55" s="90">
        <v>2231</v>
      </c>
    </row>
    <row r="56" spans="1:5" ht="16" thickBot="1" x14ac:dyDescent="0.35">
      <c r="A56" s="16" t="s">
        <v>142</v>
      </c>
      <c r="B56" s="89">
        <v>4320</v>
      </c>
      <c r="C56" s="90">
        <v>3754</v>
      </c>
      <c r="D56" s="90">
        <v>3358</v>
      </c>
      <c r="E56" s="90">
        <v>2628</v>
      </c>
    </row>
    <row r="57" spans="1:5" ht="16" thickBot="1" x14ac:dyDescent="0.35">
      <c r="A57" s="16" t="s">
        <v>143</v>
      </c>
      <c r="B57" s="89">
        <v>3690</v>
      </c>
      <c r="C57" s="90">
        <v>3583</v>
      </c>
      <c r="D57" s="90">
        <v>2815</v>
      </c>
      <c r="E57" s="90">
        <v>2487</v>
      </c>
    </row>
    <row r="58" spans="1:5" ht="16" thickBot="1" x14ac:dyDescent="0.35">
      <c r="A58" s="16" t="s">
        <v>144</v>
      </c>
      <c r="B58" s="89">
        <v>4118</v>
      </c>
      <c r="C58" s="90">
        <v>3264</v>
      </c>
      <c r="D58" s="90">
        <v>3152</v>
      </c>
      <c r="E58" s="90">
        <v>2496</v>
      </c>
    </row>
    <row r="59" spans="1:5" ht="16" thickBot="1" x14ac:dyDescent="0.35">
      <c r="A59" s="16" t="s">
        <v>145</v>
      </c>
      <c r="B59" s="89">
        <v>3680</v>
      </c>
      <c r="C59" s="90">
        <v>3972</v>
      </c>
      <c r="D59" s="90">
        <v>3246</v>
      </c>
      <c r="E59" s="90">
        <v>2689</v>
      </c>
    </row>
    <row r="60" spans="1:5" ht="16" thickBot="1" x14ac:dyDescent="0.35">
      <c r="A60" s="16" t="s">
        <v>146</v>
      </c>
      <c r="B60" s="89">
        <v>4140</v>
      </c>
      <c r="C60" s="90">
        <v>3157</v>
      </c>
      <c r="D60" s="90">
        <v>3274</v>
      </c>
      <c r="E60" s="90">
        <v>2294</v>
      </c>
    </row>
    <row r="61" spans="1:5" ht="16" thickBot="1" x14ac:dyDescent="0.35">
      <c r="A61" s="16" t="s">
        <v>147</v>
      </c>
      <c r="B61" s="89">
        <v>3761</v>
      </c>
      <c r="C61" s="90">
        <v>3134</v>
      </c>
      <c r="D61" s="90">
        <v>3172</v>
      </c>
      <c r="E61" s="90">
        <v>2747</v>
      </c>
    </row>
    <row r="62" spans="1:5" ht="16" thickBot="1" x14ac:dyDescent="0.35">
      <c r="A62" s="16" t="s">
        <v>148</v>
      </c>
      <c r="B62" s="89">
        <v>4366</v>
      </c>
      <c r="C62" s="90">
        <v>3164</v>
      </c>
      <c r="D62" s="90">
        <v>3393</v>
      </c>
      <c r="E62" s="90">
        <v>2527</v>
      </c>
    </row>
    <row r="63" spans="1:5" ht="16" thickBot="1" x14ac:dyDescent="0.35">
      <c r="A63" s="16" t="s">
        <v>149</v>
      </c>
      <c r="B63" s="89">
        <v>4230</v>
      </c>
      <c r="C63" s="90">
        <v>3747</v>
      </c>
      <c r="D63" s="90">
        <v>3301</v>
      </c>
      <c r="E63" s="90">
        <v>2512</v>
      </c>
    </row>
    <row r="64" spans="1:5" ht="16" thickBot="1" x14ac:dyDescent="0.35">
      <c r="A64" s="16" t="s">
        <v>150</v>
      </c>
      <c r="B64" s="89">
        <v>4442</v>
      </c>
      <c r="C64" s="90">
        <v>3316</v>
      </c>
      <c r="D64" s="90">
        <v>2837</v>
      </c>
      <c r="E64" s="90">
        <v>2757</v>
      </c>
    </row>
    <row r="65" spans="1:5" ht="16" thickBot="1" x14ac:dyDescent="0.35">
      <c r="A65" s="16" t="s">
        <v>151</v>
      </c>
      <c r="B65" s="89">
        <v>3688</v>
      </c>
      <c r="C65" s="90">
        <v>3227</v>
      </c>
      <c r="D65" s="90">
        <v>3101</v>
      </c>
      <c r="E65" s="90">
        <v>2665</v>
      </c>
    </row>
    <row r="70" spans="1:5" ht="16" thickBot="1" x14ac:dyDescent="0.4">
      <c r="B70" s="14">
        <f ca="1">RANDBETWEEN(3500,4500)</f>
        <v>4145</v>
      </c>
      <c r="C70" s="14">
        <f ca="1">RANDBETWEEN(3000,4000)</f>
        <v>3013</v>
      </c>
      <c r="D70" s="14">
        <f ca="1">RANDBETWEEN(2800,3500)</f>
        <v>3415</v>
      </c>
      <c r="E70" s="14">
        <f ca="1">RANDBETWEEN(2000,2810)</f>
        <v>2348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4</vt:i4>
      </vt:variant>
    </vt:vector>
  </HeadingPairs>
  <TitlesOfParts>
    <vt:vector size="26" baseType="lpstr">
      <vt:lpstr>Omega Pty Ltd</vt:lpstr>
      <vt:lpstr>Average Inventories &amp; Cost</vt:lpstr>
      <vt:lpstr>Costs</vt:lpstr>
      <vt:lpstr>Sales Target &amp; Actual</vt:lpstr>
      <vt:lpstr>Model Assumptions</vt:lpstr>
      <vt:lpstr>Black Box Model</vt:lpstr>
      <vt:lpstr>Infleunce Diagram</vt:lpstr>
      <vt:lpstr>Labour Costs</vt:lpstr>
      <vt:lpstr>Location VUAOC Cost</vt:lpstr>
      <vt:lpstr>COGS</vt:lpstr>
      <vt:lpstr>Total Operating Cost</vt:lpstr>
      <vt:lpstr>Sales and Revenue</vt:lpstr>
      <vt:lpstr>Financial Performance</vt:lpstr>
      <vt:lpstr>Income Statement</vt:lpstr>
      <vt:lpstr>Profit - What-if-Analysis</vt:lpstr>
      <vt:lpstr>Dashboard Design Space</vt:lpstr>
      <vt:lpstr>Financial KPI Dashboard</vt:lpstr>
      <vt:lpstr>Product Performance</vt:lpstr>
      <vt:lpstr>Product Dashboard Design Space</vt:lpstr>
      <vt:lpstr>Product KPI Dashboard</vt:lpstr>
      <vt:lpstr>Maroochydore</vt:lpstr>
      <vt:lpstr>VUAOC Generator</vt:lpstr>
      <vt:lpstr>'Infleunce Diagram'!OLE_LINK1</vt:lpstr>
      <vt:lpstr>'Infleunce Diagram'!OLE_LINK3</vt:lpstr>
      <vt:lpstr>'Average Inventories &amp; Cost'!Print_Area</vt:lpstr>
      <vt:lpstr>Maroochydore!Print_Area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Singwhat Tee</dc:creator>
  <cp:lastModifiedBy>Thi Hong Ngoc Nguyen</cp:lastModifiedBy>
  <dcterms:created xsi:type="dcterms:W3CDTF">2005-01-13T02:29:48Z</dcterms:created>
  <dcterms:modified xsi:type="dcterms:W3CDTF">2025-01-24T04:51:49Z</dcterms:modified>
</cp:coreProperties>
</file>