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pang\Desktop\"/>
    </mc:Choice>
  </mc:AlternateContent>
  <xr:revisionPtr revIDLastSave="0" documentId="13_ncr:1_{07D958DC-C368-4DB5-B20D-334C6D19E974}" xr6:coauthVersionLast="47" xr6:coauthVersionMax="47" xr10:uidLastSave="{00000000-0000-0000-0000-000000000000}"/>
  <bookViews>
    <workbookView xWindow="28680" yWindow="-120" windowWidth="29040" windowHeight="15990" xr2:uid="{AB773512-7E53-4411-A35F-E5BFAE9B8984}"/>
  </bookViews>
  <sheets>
    <sheet name="SUM관련" sheetId="2" r:id="rId1"/>
    <sheet name="논리함수,예측" sheetId="3" r:id="rId2"/>
    <sheet name="날짜함수" sheetId="4" r:id="rId3"/>
    <sheet name="카운트함수" sheetId="5" r:id="rId4"/>
    <sheet name="텍스트 함수" sheetId="6" r:id="rId5"/>
    <sheet name="함수예제" sheetId="7" r:id="rId6"/>
  </sheets>
  <definedNames>
    <definedName name="_xlnm._FilterDatabase" localSheetId="5" hidden="1">함수예제!#REF!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D67" i="7" a="1"/>
  <c r="D67" i="7" s="1"/>
  <c r="C67" i="7" a="1"/>
  <c r="C67" i="7" s="1"/>
  <c r="D66" i="7" a="1"/>
  <c r="D66" i="7" s="1"/>
  <c r="C66" i="7" a="1"/>
  <c r="C66" i="7" s="1"/>
  <c r="G62" i="7"/>
  <c r="F62" i="7"/>
  <c r="H62" i="7" s="1"/>
  <c r="H57" i="7"/>
  <c r="G57" i="7"/>
  <c r="K48" i="7"/>
  <c r="K47" i="7"/>
  <c r="K46" i="7"/>
  <c r="K45" i="7"/>
  <c r="K44" i="7"/>
  <c r="K40" i="7"/>
  <c r="K39" i="7"/>
  <c r="K38" i="7"/>
  <c r="K37" i="7"/>
  <c r="K36" i="7"/>
  <c r="D20" i="7"/>
  <c r="C20" i="7"/>
  <c r="D19" i="7"/>
  <c r="C19" i="7"/>
  <c r="D18" i="7"/>
  <c r="C18" i="7"/>
  <c r="D17" i="7"/>
  <c r="C17" i="7"/>
  <c r="H11" i="7"/>
  <c r="H11" i="7" a="1"/>
  <c r="G11" i="7"/>
  <c r="G11" i="7" a="1"/>
  <c r="H10" i="7"/>
  <c r="G10" i="7" a="1"/>
  <c r="G10" i="7" s="1"/>
  <c r="H5" i="7"/>
  <c r="G5" i="7"/>
  <c r="F54" i="6"/>
  <c r="C54" i="6"/>
  <c r="G50" i="6"/>
  <c r="G49" i="6"/>
  <c r="G48" i="6"/>
  <c r="G47" i="6"/>
  <c r="C47" i="6"/>
  <c r="V43" i="6"/>
  <c r="U43" i="6"/>
  <c r="T43" i="6"/>
  <c r="S43" i="6"/>
  <c r="R43" i="6"/>
  <c r="Q43" i="6"/>
  <c r="M43" i="6"/>
  <c r="H43" i="6"/>
  <c r="G43" i="6"/>
  <c r="D43" i="6"/>
  <c r="C43" i="6"/>
  <c r="V42" i="6"/>
  <c r="U42" i="6"/>
  <c r="T42" i="6"/>
  <c r="S42" i="6"/>
  <c r="R42" i="6"/>
  <c r="Q42" i="6"/>
  <c r="M42" i="6"/>
  <c r="H42" i="6"/>
  <c r="G42" i="6"/>
  <c r="D42" i="6"/>
  <c r="C42" i="6"/>
  <c r="E38" i="6"/>
  <c r="D38" i="6"/>
  <c r="N37" i="6"/>
  <c r="E37" i="6"/>
  <c r="D37" i="6"/>
  <c r="N36" i="6"/>
  <c r="N35" i="6"/>
  <c r="N34" i="6"/>
  <c r="N33" i="6"/>
  <c r="D33" i="6"/>
  <c r="N32" i="6"/>
  <c r="D32" i="6"/>
  <c r="N31" i="6"/>
  <c r="D31" i="6"/>
  <c r="N30" i="6"/>
  <c r="N29" i="6"/>
  <c r="N28" i="6"/>
  <c r="D27" i="6"/>
  <c r="D26" i="6"/>
  <c r="S25" i="6"/>
  <c r="T25" i="6" s="1"/>
  <c r="U25" i="6" s="1"/>
  <c r="V25" i="6" s="1"/>
  <c r="M25" i="6"/>
  <c r="D25" i="6"/>
  <c r="S24" i="6"/>
  <c r="T24" i="6" s="1"/>
  <c r="U24" i="6" s="1"/>
  <c r="V24" i="6" s="1"/>
  <c r="M24" i="6"/>
  <c r="T23" i="6"/>
  <c r="U23" i="6" s="1"/>
  <c r="V23" i="6" s="1"/>
  <c r="S23" i="6"/>
  <c r="M23" i="6"/>
  <c r="H21" i="6"/>
  <c r="C21" i="6"/>
  <c r="H20" i="6"/>
  <c r="C20" i="6"/>
  <c r="N19" i="6"/>
  <c r="H19" i="6"/>
  <c r="C19" i="6"/>
  <c r="N18" i="6"/>
  <c r="N17" i="6"/>
  <c r="C15" i="6"/>
  <c r="C14" i="6"/>
  <c r="N13" i="6"/>
  <c r="N12" i="6"/>
  <c r="N11" i="6"/>
  <c r="D10" i="6"/>
  <c r="C10" i="6"/>
  <c r="D9" i="6"/>
  <c r="C9" i="6"/>
  <c r="D8" i="6"/>
  <c r="C8" i="6"/>
  <c r="T6" i="6"/>
  <c r="O6" i="6"/>
  <c r="N6" i="6"/>
  <c r="T5" i="6"/>
  <c r="O5" i="6"/>
  <c r="N5" i="6"/>
  <c r="T4" i="6"/>
  <c r="O4" i="6"/>
  <c r="N4" i="6"/>
  <c r="G4" i="6"/>
  <c r="F4" i="6"/>
  <c r="C4" i="6"/>
  <c r="G3" i="6"/>
  <c r="F3" i="6"/>
  <c r="C3" i="6"/>
  <c r="J17" i="5"/>
  <c r="J16" i="5"/>
  <c r="J12" i="5"/>
  <c r="J11" i="5"/>
  <c r="J10" i="5"/>
  <c r="J5" i="5"/>
  <c r="J4" i="5"/>
  <c r="D31" i="4"/>
  <c r="C31" i="4"/>
  <c r="D30" i="4"/>
  <c r="C30" i="4"/>
  <c r="I27" i="4"/>
  <c r="H27" i="4"/>
  <c r="G27" i="4"/>
  <c r="F27" i="4"/>
  <c r="I26" i="4"/>
  <c r="H26" i="4"/>
  <c r="G26" i="4"/>
  <c r="F26" i="4"/>
  <c r="I25" i="4"/>
  <c r="H25" i="4"/>
  <c r="G25" i="4"/>
  <c r="F25" i="4"/>
  <c r="P23" i="4"/>
  <c r="T23" i="4" s="1"/>
  <c r="P22" i="4"/>
  <c r="P21" i="4"/>
  <c r="T22" i="4" s="1"/>
  <c r="F21" i="4"/>
  <c r="F20" i="4"/>
  <c r="F19" i="4"/>
  <c r="T17" i="4"/>
  <c r="P17" i="4"/>
  <c r="P16" i="4"/>
  <c r="T15" i="4"/>
  <c r="P15" i="4"/>
  <c r="T16" i="4" s="1"/>
  <c r="F15" i="4"/>
  <c r="F14" i="4"/>
  <c r="F13" i="4"/>
  <c r="N11" i="4"/>
  <c r="L11" i="4"/>
  <c r="C9" i="4"/>
  <c r="C8" i="4"/>
  <c r="S7" i="4"/>
  <c r="C7" i="4"/>
  <c r="S6" i="4"/>
  <c r="C6" i="4"/>
  <c r="S5" i="4"/>
  <c r="M5" i="4"/>
  <c r="L5" i="4"/>
  <c r="C5" i="4"/>
  <c r="I32" i="3"/>
  <c r="I31" i="3"/>
  <c r="C31" i="3"/>
  <c r="I30" i="3"/>
  <c r="C30" i="3"/>
  <c r="N27" i="3"/>
  <c r="N26" i="3"/>
  <c r="N25" i="3"/>
  <c r="F25" i="3"/>
  <c r="D25" i="3"/>
  <c r="N24" i="3"/>
  <c r="F24" i="3"/>
  <c r="D24" i="3"/>
  <c r="F23" i="3"/>
  <c r="D23" i="3"/>
  <c r="F22" i="3"/>
  <c r="D22" i="3"/>
  <c r="F21" i="3"/>
  <c r="D21" i="3"/>
  <c r="P20" i="3"/>
  <c r="O20" i="3"/>
  <c r="P19" i="3"/>
  <c r="O19" i="3"/>
  <c r="P18" i="3"/>
  <c r="O18" i="3"/>
  <c r="P17" i="3"/>
  <c r="O17" i="3"/>
  <c r="D15" i="3"/>
  <c r="C15" i="3"/>
  <c r="D14" i="3"/>
  <c r="Q13" i="3"/>
  <c r="D13" i="3"/>
  <c r="Q12" i="3"/>
  <c r="D12" i="3"/>
  <c r="Q11" i="3"/>
  <c r="D11" i="3"/>
  <c r="D10" i="3"/>
  <c r="D9" i="3"/>
  <c r="D8" i="3"/>
  <c r="D7" i="3"/>
  <c r="O6" i="3"/>
  <c r="P6" i="3" s="1"/>
  <c r="D6" i="3"/>
  <c r="P5" i="3"/>
  <c r="O5" i="3"/>
  <c r="D5" i="3"/>
  <c r="O4" i="3"/>
  <c r="P4" i="3" s="1"/>
  <c r="D4" i="3"/>
  <c r="G27" i="2"/>
  <c r="K26" i="2"/>
  <c r="G26" i="2"/>
  <c r="G25" i="2"/>
  <c r="G24" i="2"/>
  <c r="K25" i="2"/>
  <c r="K17" i="2"/>
  <c r="G17" i="2"/>
  <c r="G16" i="2"/>
  <c r="K15" i="2"/>
  <c r="G15" i="2"/>
  <c r="K14" i="2"/>
  <c r="G14" i="2"/>
  <c r="L13" i="2"/>
  <c r="G13" i="2"/>
  <c r="K13" i="2" s="1"/>
  <c r="H7" i="2"/>
  <c r="S6" i="2"/>
  <c r="O6" i="2"/>
  <c r="H6" i="2"/>
  <c r="S5" i="2"/>
  <c r="O5" i="2"/>
  <c r="H5" i="2"/>
  <c r="M29" i="6" l="1"/>
  <c r="M34" i="6"/>
  <c r="M31" i="6"/>
  <c r="M33" i="6"/>
  <c r="M32" i="6"/>
  <c r="M37" i="6"/>
  <c r="O37" i="6" s="1"/>
  <c r="K6" i="2"/>
  <c r="I5" i="2"/>
  <c r="K5" i="2" s="1"/>
  <c r="M36" i="6"/>
  <c r="I7" i="2"/>
  <c r="K7" i="2" s="1"/>
  <c r="L23" i="2"/>
  <c r="K27" i="2"/>
  <c r="K24" i="2"/>
  <c r="M30" i="6"/>
  <c r="O30" i="6" s="1"/>
  <c r="K23" i="2"/>
  <c r="I6" i="2"/>
  <c r="K16" i="2"/>
  <c r="T21" i="4"/>
  <c r="M28" i="6"/>
  <c r="O31" i="6" s="1"/>
  <c r="M35" i="6"/>
  <c r="K8" i="2" l="1"/>
  <c r="O35" i="6"/>
  <c r="O36" i="6"/>
  <c r="O32" i="6"/>
  <c r="O29" i="6"/>
  <c r="O28" i="6"/>
  <c r="O33" i="6"/>
  <c r="O3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B5" authorId="0" shapeId="0" xr:uid="{8CAF0B75-78DD-498E-B2EC-837EC40C0F91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날짜
</t>
        </r>
      </text>
    </comment>
    <comment ref="B6" authorId="0" shapeId="0" xr:uid="{C8597633-6A35-4FDF-AC6F-325E8BDD56BC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날짜
</t>
        </r>
        <r>
          <rPr>
            <sz val="9"/>
            <color indexed="81"/>
            <rFont val="Tahoma"/>
            <family val="2"/>
          </rPr>
          <t>yyyy"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" mm"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" dd"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"</t>
        </r>
      </text>
    </comment>
    <comment ref="B7" authorId="0" shapeId="0" xr:uid="{3D6BCD4E-8BDD-4006-84D9-0F7E08DE8851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</text>
    </comment>
    <comment ref="B8" authorId="0" shapeId="0" xr:uid="{AAD3E6E2-87B9-472F-AFD9-D43F4A707B72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텍스트
</t>
        </r>
      </text>
    </comment>
    <comment ref="L11" authorId="0" shapeId="0" xr:uid="{D17F53C7-82ED-4BC2-850E-9DA190CCCD0F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 xml:space="preserve">사용자지정
</t>
        </r>
        <r>
          <rPr>
            <sz val="9"/>
            <color indexed="81"/>
            <rFont val="Tahoma"/>
            <family val="2"/>
          </rPr>
          <t xml:space="preserve">yyyy-mm-dd hh:mm:ss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B3" authorId="0" shapeId="0" xr:uid="{EE6CCD8C-EFF3-41D3-B784-75E29EBA3D1F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텍스트
</t>
        </r>
      </text>
    </comment>
    <comment ref="B4" authorId="0" shapeId="0" xr:uid="{EF94305F-23F7-4E27-9A76-70B2C0C3C5E2}">
      <text>
        <r>
          <rPr>
            <b/>
            <sz val="9"/>
            <color indexed="81"/>
            <rFont val="Tahoma"/>
            <family val="2"/>
          </rPr>
          <t>Registered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표시형식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텍스트
</t>
        </r>
      </text>
    </comment>
  </commentList>
</comments>
</file>

<file path=xl/sharedStrings.xml><?xml version="1.0" encoding="utf-8"?>
<sst xmlns="http://schemas.openxmlformats.org/spreadsheetml/2006/main" count="578" uniqueCount="339">
  <si>
    <t>SUM 합계 계산</t>
    <phoneticPr fontId="4" type="noConversion"/>
  </si>
  <si>
    <t>SUMIFS 다중 조건 계산</t>
    <phoneticPr fontId="4" type="noConversion"/>
  </si>
  <si>
    <t>=SUM(셀1,셀2,셀3,셀4,셀5)  =SUM(셀1:셀5)</t>
    <phoneticPr fontId="7" type="noConversion"/>
  </si>
  <si>
    <t>=sumifs(계산셀범위지정,조건셀범위지정1,조건1,조건셀범위지정2,조건2,조건셀범위지정3,조건3)   이상 조건 "&gt;="&amp;셀 또는 "&gt;="&amp;"100"</t>
    <phoneticPr fontId="7" type="noConversion"/>
  </si>
  <si>
    <t>작업(착)일자</t>
  </si>
  <si>
    <t>품목</t>
  </si>
  <si>
    <t>규격</t>
  </si>
  <si>
    <t>수량</t>
  </si>
  <si>
    <t>단위</t>
  </si>
  <si>
    <t>단가</t>
  </si>
  <si>
    <t>공급가액</t>
  </si>
  <si>
    <t>세액</t>
  </si>
  <si>
    <t>할인금액</t>
  </si>
  <si>
    <t>총계</t>
  </si>
  <si>
    <t>기준일자</t>
    <phoneticPr fontId="7" type="noConversion"/>
  </si>
  <si>
    <t>감자</t>
    <phoneticPr fontId="7" type="noConversion"/>
  </si>
  <si>
    <t>10kg</t>
    <phoneticPr fontId="7" type="noConversion"/>
  </si>
  <si>
    <t>박스</t>
  </si>
  <si>
    <t>판매량</t>
    <phoneticPr fontId="7" type="noConversion"/>
  </si>
  <si>
    <t>사과</t>
    <phoneticPr fontId="7" type="noConversion"/>
  </si>
  <si>
    <t>20kg</t>
    <phoneticPr fontId="7" type="noConversion"/>
  </si>
  <si>
    <t>공급가액</t>
    <phoneticPr fontId="7" type="noConversion"/>
  </si>
  <si>
    <t>판매금액</t>
    <phoneticPr fontId="7" type="noConversion"/>
  </si>
  <si>
    <t>과자</t>
    <phoneticPr fontId="7" type="noConversion"/>
  </si>
  <si>
    <t>100개X1박스</t>
  </si>
  <si>
    <t>일자</t>
    <phoneticPr fontId="7" type="noConversion"/>
  </si>
  <si>
    <t>SUMIF 조건 계산</t>
    <phoneticPr fontId="4" type="noConversion"/>
  </si>
  <si>
    <t>=sumif(계산할셀범위지정,조건,조건셀범위지정)</t>
    <phoneticPr fontId="7" type="noConversion"/>
  </si>
  <si>
    <t>업체명</t>
  </si>
  <si>
    <t>수량</t>
    <phoneticPr fontId="4" type="noConversion"/>
  </si>
  <si>
    <t>단가</t>
    <phoneticPr fontId="4" type="noConversion"/>
  </si>
  <si>
    <t>공급가액</t>
    <phoneticPr fontId="4" type="noConversion"/>
  </si>
  <si>
    <t>대박마트</t>
  </si>
  <si>
    <t>사과</t>
  </si>
  <si>
    <t>20kg</t>
  </si>
  <si>
    <t>대박마트 공급가액 합계</t>
    <phoneticPr fontId="4" type="noConversion"/>
  </si>
  <si>
    <t>배</t>
  </si>
  <si>
    <t>10kg</t>
  </si>
  <si>
    <t>천리마마트 공급가액 합계</t>
    <phoneticPr fontId="4" type="noConversion"/>
  </si>
  <si>
    <t>사탕과자</t>
  </si>
  <si>
    <t>사과 공급가액 합계</t>
    <phoneticPr fontId="4" type="noConversion"/>
  </si>
  <si>
    <t>고구마말랭이</t>
  </si>
  <si>
    <t>100gX100봉</t>
  </si>
  <si>
    <t>공급가액 100만원 이상 합계</t>
    <phoneticPr fontId="4" type="noConversion"/>
  </si>
  <si>
    <t>천리마마트</t>
  </si>
  <si>
    <t>공급가액 100만원 미만 합계</t>
    <phoneticPr fontId="4" type="noConversion"/>
  </si>
  <si>
    <t>SUMPRODUCT 다중조건 계산</t>
    <phoneticPr fontId="4" type="noConversion"/>
  </si>
  <si>
    <t>=sumproduct((조건셀범위지정1=조건1)*(조건셀범위지정2&gt;=조건2)*(조건셀범위지정3=조건3)*(계산셀범위지정))</t>
    <phoneticPr fontId="7" type="noConversion"/>
  </si>
  <si>
    <t>대박마트&amp;사과 공급가액 합계</t>
    <phoneticPr fontId="4" type="noConversion"/>
  </si>
  <si>
    <t>대박마트&amp;사과&amp;20kg 공급가액 합계</t>
    <phoneticPr fontId="4" type="noConversion"/>
  </si>
  <si>
    <t>FORECAST 함수로 실적 예측</t>
    <phoneticPr fontId="7" type="noConversion"/>
  </si>
  <si>
    <t>IF</t>
    <phoneticPr fontId="4" type="noConversion"/>
  </si>
  <si>
    <t>실적월</t>
  </si>
  <si>
    <t>판매건수</t>
  </si>
  <si>
    <t>판매금액</t>
  </si>
  <si>
    <t>성명</t>
    <phoneticPr fontId="7" type="noConversion"/>
  </si>
  <si>
    <t>성명</t>
    <phoneticPr fontId="4" type="noConversion"/>
  </si>
  <si>
    <t>주민등록번호</t>
    <phoneticPr fontId="4" type="noConversion"/>
  </si>
  <si>
    <t>성별</t>
    <phoneticPr fontId="4" type="noConversion"/>
  </si>
  <si>
    <t>입영대상</t>
    <phoneticPr fontId="4" type="noConversion"/>
  </si>
  <si>
    <t>홍길동</t>
    <phoneticPr fontId="7" type="noConversion"/>
  </si>
  <si>
    <t>홍길동</t>
    <phoneticPr fontId="4" type="noConversion"/>
  </si>
  <si>
    <t>830503-1532011</t>
    <phoneticPr fontId="4" type="noConversion"/>
  </si>
  <si>
    <t>김철수</t>
    <phoneticPr fontId="7" type="noConversion"/>
  </si>
  <si>
    <t>김철수</t>
    <phoneticPr fontId="4" type="noConversion"/>
  </si>
  <si>
    <t>950303-1125252</t>
    <phoneticPr fontId="4" type="noConversion"/>
  </si>
  <si>
    <t>김영희</t>
    <phoneticPr fontId="4" type="noConversion"/>
  </si>
  <si>
    <t>830212-2325112</t>
    <phoneticPr fontId="4" type="noConversion"/>
  </si>
  <si>
    <t>* 함수 내용이 텍스트이면 "" 입력, 숫자이면 그냥 입력</t>
    <phoneticPr fontId="4" type="noConversion"/>
  </si>
  <si>
    <t>AND</t>
    <phoneticPr fontId="4" type="noConversion"/>
  </si>
  <si>
    <t>계약금액(VAT포함)</t>
    <phoneticPr fontId="4" type="noConversion"/>
  </si>
  <si>
    <t>인지세액(원)</t>
    <phoneticPr fontId="4" type="noConversion"/>
  </si>
  <si>
    <t>계약금액(원)</t>
    <phoneticPr fontId="4" type="noConversion"/>
  </si>
  <si>
    <t>인지세 계산</t>
    <phoneticPr fontId="4" type="noConversion"/>
  </si>
  <si>
    <t>1천만원 미만</t>
    <phoneticPr fontId="4" type="noConversion"/>
  </si>
  <si>
    <t>1천만원 초과 ~ 3천만원 이하</t>
    <phoneticPr fontId="4" type="noConversion"/>
  </si>
  <si>
    <t>5천만원 초과 ~ 1억원 이하</t>
    <phoneticPr fontId="4" type="noConversion"/>
  </si>
  <si>
    <t>OR</t>
    <phoneticPr fontId="4" type="noConversion"/>
  </si>
  <si>
    <t>고객명</t>
    <phoneticPr fontId="4" type="noConversion"/>
  </si>
  <si>
    <t>생년월일</t>
    <phoneticPr fontId="4" type="noConversion"/>
  </si>
  <si>
    <t>891010-1234567</t>
    <phoneticPr fontId="4" type="noConversion"/>
  </si>
  <si>
    <t>VLOOKUP 품목에 맞는 가격 불러오기</t>
    <phoneticPr fontId="4" type="noConversion"/>
  </si>
  <si>
    <t>최민희</t>
    <phoneticPr fontId="4" type="noConversion"/>
  </si>
  <si>
    <t>951120-2345678</t>
    <phoneticPr fontId="4" type="noConversion"/>
  </si>
  <si>
    <t>=VLOOUP(찾는셀,불러올셀범위지정,불러올자리수,false)</t>
    <phoneticPr fontId="7" type="noConversion"/>
  </si>
  <si>
    <t>강철수</t>
    <phoneticPr fontId="4" type="noConversion"/>
  </si>
  <si>
    <t>041206-3123456</t>
    <phoneticPr fontId="4" type="noConversion"/>
  </si>
  <si>
    <t>일자</t>
    <phoneticPr fontId="4" type="noConversion"/>
  </si>
  <si>
    <t>가격</t>
    <phoneticPr fontId="4" type="noConversion"/>
  </si>
  <si>
    <t>판매금액</t>
    <phoneticPr fontId="4" type="noConversion"/>
  </si>
  <si>
    <t>품목</t>
    <phoneticPr fontId="4" type="noConversion"/>
  </si>
  <si>
    <t>나미녀</t>
    <phoneticPr fontId="4" type="noConversion"/>
  </si>
  <si>
    <t>091206-4123457</t>
    <phoneticPr fontId="4" type="noConversion"/>
  </si>
  <si>
    <t>IFERROR</t>
    <phoneticPr fontId="4" type="noConversion"/>
  </si>
  <si>
    <t>수박</t>
  </si>
  <si>
    <t>거래처</t>
    <phoneticPr fontId="4" type="noConversion"/>
  </si>
  <si>
    <t>거래일자</t>
    <phoneticPr fontId="4" type="noConversion"/>
  </si>
  <si>
    <t>판매수량</t>
    <phoneticPr fontId="4" type="noConversion"/>
  </si>
  <si>
    <t>호박</t>
  </si>
  <si>
    <t>사과</t>
    <phoneticPr fontId="4" type="noConversion"/>
  </si>
  <si>
    <t>단골마트</t>
    <phoneticPr fontId="4" type="noConversion"/>
  </si>
  <si>
    <t>배</t>
    <phoneticPr fontId="4" type="noConversion"/>
  </si>
  <si>
    <t>천리마마트</t>
    <phoneticPr fontId="4" type="noConversion"/>
  </si>
  <si>
    <t>딸기</t>
    <phoneticPr fontId="4" type="noConversion"/>
  </si>
  <si>
    <t>수박</t>
    <phoneticPr fontId="4" type="noConversion"/>
  </si>
  <si>
    <t>LOOKUP</t>
    <phoneticPr fontId="4" type="noConversion"/>
  </si>
  <si>
    <t>바나나</t>
    <phoneticPr fontId="4" type="noConversion"/>
  </si>
  <si>
    <t>구분</t>
    <phoneticPr fontId="7" type="noConversion"/>
  </si>
  <si>
    <t>구분</t>
    <phoneticPr fontId="4" type="noConversion"/>
  </si>
  <si>
    <t>국가</t>
    <phoneticPr fontId="4" type="noConversion"/>
  </si>
  <si>
    <t>상품</t>
    <phoneticPr fontId="4" type="noConversion"/>
  </si>
  <si>
    <t>판매가격</t>
    <phoneticPr fontId="4" type="noConversion"/>
  </si>
  <si>
    <t>총매출</t>
    <phoneticPr fontId="4" type="noConversion"/>
  </si>
  <si>
    <t>최고판매</t>
    <phoneticPr fontId="4" type="noConversion"/>
  </si>
  <si>
    <t>중국</t>
  </si>
  <si>
    <t>상품1</t>
  </si>
  <si>
    <t>최저매출</t>
    <phoneticPr fontId="4" type="noConversion"/>
  </si>
  <si>
    <t>일본</t>
  </si>
  <si>
    <t>상품2</t>
  </si>
  <si>
    <t>아프리카</t>
  </si>
  <si>
    <t>상품3</t>
  </si>
  <si>
    <t>DATE</t>
    <phoneticPr fontId="4" type="noConversion"/>
  </si>
  <si>
    <t>TODAY</t>
    <phoneticPr fontId="4" type="noConversion"/>
  </si>
  <si>
    <t>Date</t>
    <phoneticPr fontId="4" type="noConversion"/>
  </si>
  <si>
    <t>오늘일자</t>
    <phoneticPr fontId="4" type="noConversion"/>
  </si>
  <si>
    <t>응용</t>
    <phoneticPr fontId="4" type="noConversion"/>
  </si>
  <si>
    <t>예정일자</t>
    <phoneticPr fontId="4" type="noConversion"/>
  </si>
  <si>
    <t>남은 기간</t>
    <phoneticPr fontId="4" type="noConversion"/>
  </si>
  <si>
    <t>수능시험</t>
    <phoneticPr fontId="4" type="noConversion"/>
  </si>
  <si>
    <t>마라톤대회</t>
    <phoneticPr fontId="4" type="noConversion"/>
  </si>
  <si>
    <t>본인탄신일</t>
    <phoneticPr fontId="4" type="noConversion"/>
  </si>
  <si>
    <t>2020년 11월 25일</t>
    <phoneticPr fontId="4" type="noConversion"/>
  </si>
  <si>
    <t>NOW</t>
    <phoneticPr fontId="4" type="noConversion"/>
  </si>
  <si>
    <t>현재시각</t>
    <phoneticPr fontId="4" type="noConversion"/>
  </si>
  <si>
    <t>EDATE</t>
    <phoneticPr fontId="4" type="noConversion"/>
  </si>
  <si>
    <t>대출상품</t>
    <phoneticPr fontId="4" type="noConversion"/>
  </si>
  <si>
    <t>대출일자</t>
    <phoneticPr fontId="4" type="noConversion"/>
  </si>
  <si>
    <t>대출기간(월)</t>
    <phoneticPr fontId="4" type="noConversion"/>
  </si>
  <si>
    <t>대출상환일자</t>
    <phoneticPr fontId="4" type="noConversion"/>
  </si>
  <si>
    <t>신용대출</t>
    <phoneticPr fontId="4" type="noConversion"/>
  </si>
  <si>
    <t>YEAR</t>
    <phoneticPr fontId="4" type="noConversion"/>
  </si>
  <si>
    <t>부동산담보대출</t>
    <phoneticPr fontId="4" type="noConversion"/>
  </si>
  <si>
    <t>2020년 판매금액</t>
    <phoneticPr fontId="4" type="noConversion"/>
  </si>
  <si>
    <t>2020년 사과 판매금액</t>
    <phoneticPr fontId="4" type="noConversion"/>
  </si>
  <si>
    <t>EOMONTH</t>
  </si>
  <si>
    <t>2020년 사과 수량</t>
    <phoneticPr fontId="4" type="noConversion"/>
  </si>
  <si>
    <t>MONTH</t>
    <phoneticPr fontId="4" type="noConversion"/>
  </si>
  <si>
    <t>2020년 8월 판매금액</t>
    <phoneticPr fontId="4" type="noConversion"/>
  </si>
  <si>
    <t>2020년 8월 사과 판매금액</t>
    <phoneticPr fontId="4" type="noConversion"/>
  </si>
  <si>
    <t>DATEDIF</t>
    <phoneticPr fontId="4" type="noConversion"/>
  </si>
  <si>
    <t>2020년 9월 배 수량</t>
    <phoneticPr fontId="4" type="noConversion"/>
  </si>
  <si>
    <t>직급</t>
    <phoneticPr fontId="4" type="noConversion"/>
  </si>
  <si>
    <t>입사일자</t>
    <phoneticPr fontId="4" type="noConversion"/>
  </si>
  <si>
    <t>퇴사일자</t>
    <phoneticPr fontId="4" type="noConversion"/>
  </si>
  <si>
    <t>근무일수</t>
    <phoneticPr fontId="4" type="noConversion"/>
  </si>
  <si>
    <t>근무개월수</t>
    <phoneticPr fontId="4" type="noConversion"/>
  </si>
  <si>
    <t>근무년수</t>
    <phoneticPr fontId="4" type="noConversion"/>
  </si>
  <si>
    <t>나부장</t>
    <phoneticPr fontId="4" type="noConversion"/>
  </si>
  <si>
    <t>부장</t>
    <phoneticPr fontId="4" type="noConversion"/>
  </si>
  <si>
    <t>나과장</t>
    <phoneticPr fontId="4" type="noConversion"/>
  </si>
  <si>
    <t>과장</t>
    <phoneticPr fontId="4" type="noConversion"/>
  </si>
  <si>
    <t>나대리</t>
    <phoneticPr fontId="4" type="noConversion"/>
  </si>
  <si>
    <t>대리</t>
    <phoneticPr fontId="4" type="noConversion"/>
  </si>
  <si>
    <t>나이</t>
    <phoneticPr fontId="4" type="noConversion"/>
  </si>
  <si>
    <t>020311-3234567</t>
    <phoneticPr fontId="4" type="noConversion"/>
  </si>
  <si>
    <t>831006-1232811</t>
    <phoneticPr fontId="4" type="noConversion"/>
  </si>
  <si>
    <t>COUNT</t>
    <phoneticPr fontId="4" type="noConversion"/>
  </si>
  <si>
    <t>회비</t>
    <phoneticPr fontId="4" type="noConversion"/>
  </si>
  <si>
    <t>입금액</t>
    <phoneticPr fontId="4" type="noConversion"/>
  </si>
  <si>
    <t>참석여부</t>
    <phoneticPr fontId="4" type="noConversion"/>
  </si>
  <si>
    <t>개수</t>
    <phoneticPr fontId="4" type="noConversion"/>
  </si>
  <si>
    <t>나회장</t>
    <phoneticPr fontId="4" type="noConversion"/>
  </si>
  <si>
    <t>회장</t>
    <phoneticPr fontId="4" type="noConversion"/>
  </si>
  <si>
    <t>참석</t>
    <phoneticPr fontId="4" type="noConversion"/>
  </si>
  <si>
    <t>입금액 입력 값 개수</t>
    <phoneticPr fontId="4" type="noConversion"/>
  </si>
  <si>
    <t>나총무</t>
    <phoneticPr fontId="4" type="noConversion"/>
  </si>
  <si>
    <t>총무</t>
    <phoneticPr fontId="4" type="noConversion"/>
  </si>
  <si>
    <t>회비 입력 값 개수</t>
    <phoneticPr fontId="4" type="noConversion"/>
  </si>
  <si>
    <t>나회원</t>
    <phoneticPr fontId="4" type="noConversion"/>
  </si>
  <si>
    <t>회원</t>
    <phoneticPr fontId="4" type="noConversion"/>
  </si>
  <si>
    <t>불참</t>
    <phoneticPr fontId="4" type="noConversion"/>
  </si>
  <si>
    <t>COUNTIF</t>
    <phoneticPr fontId="4" type="noConversion"/>
  </si>
  <si>
    <t>참석자 수</t>
    <phoneticPr fontId="4" type="noConversion"/>
  </si>
  <si>
    <t>불참석자 수</t>
    <phoneticPr fontId="4" type="noConversion"/>
  </si>
  <si>
    <t>입금액 개수</t>
    <phoneticPr fontId="4" type="noConversion"/>
  </si>
  <si>
    <t>COUNTA</t>
    <phoneticPr fontId="4" type="noConversion"/>
  </si>
  <si>
    <t>성명 항목 입력 값 개수</t>
    <phoneticPr fontId="4" type="noConversion"/>
  </si>
  <si>
    <t>VALUE</t>
    <phoneticPr fontId="4" type="noConversion"/>
  </si>
  <si>
    <t>판매금액(텍스트)</t>
    <phoneticPr fontId="4" type="noConversion"/>
  </si>
  <si>
    <t>판매금액(숫자)</t>
    <phoneticPr fontId="4" type="noConversion"/>
  </si>
  <si>
    <t>계약금액</t>
    <phoneticPr fontId="4" type="noConversion"/>
  </si>
  <si>
    <t>지방채매입금액</t>
    <phoneticPr fontId="4" type="noConversion"/>
  </si>
  <si>
    <t>실제매입금액</t>
    <phoneticPr fontId="4" type="noConversion"/>
  </si>
  <si>
    <t>MID</t>
    <phoneticPr fontId="4" type="noConversion"/>
  </si>
  <si>
    <t>12580000</t>
    <phoneticPr fontId="4" type="noConversion"/>
  </si>
  <si>
    <t>뒷번호</t>
    <phoneticPr fontId="4" type="noConversion"/>
  </si>
  <si>
    <t>비고</t>
    <phoneticPr fontId="4" type="noConversion"/>
  </si>
  <si>
    <t>성별구분</t>
    <phoneticPr fontId="4" type="noConversion"/>
  </si>
  <si>
    <t>25800000</t>
    <phoneticPr fontId="4" type="noConversion"/>
  </si>
  <si>
    <t>891001-1234567</t>
    <phoneticPr fontId="4" type="noConversion"/>
  </si>
  <si>
    <t>첫자리</t>
    <phoneticPr fontId="4" type="noConversion"/>
  </si>
  <si>
    <t>둘째자리</t>
    <phoneticPr fontId="4" type="noConversion"/>
  </si>
  <si>
    <t>051001-4234567</t>
    <phoneticPr fontId="4" type="noConversion"/>
  </si>
  <si>
    <t>TEXT</t>
    <phoneticPr fontId="4" type="noConversion"/>
  </si>
  <si>
    <t>다섯자리</t>
    <phoneticPr fontId="4" type="noConversion"/>
  </si>
  <si>
    <t>061001-3234567</t>
    <phoneticPr fontId="4" type="noConversion"/>
  </si>
  <si>
    <t>TEXT 출력</t>
    <phoneticPr fontId="4" type="noConversion"/>
  </si>
  <si>
    <t>* 결과값이 텍스트 형식으로 출력됨</t>
    <phoneticPr fontId="4" type="noConversion"/>
  </si>
  <si>
    <t>RIGHT</t>
    <phoneticPr fontId="4" type="noConversion"/>
  </si>
  <si>
    <t>오른쪽 7자리</t>
    <phoneticPr fontId="4" type="noConversion"/>
  </si>
  <si>
    <t>NUMBERSTRING</t>
    <phoneticPr fontId="4" type="noConversion"/>
  </si>
  <si>
    <t>오른쪽 5자리</t>
    <phoneticPr fontId="4" type="noConversion"/>
  </si>
  <si>
    <t>계약금액 숫자</t>
    <phoneticPr fontId="4" type="noConversion"/>
  </si>
  <si>
    <t>계약금액 한글</t>
    <phoneticPr fontId="4" type="noConversion"/>
  </si>
  <si>
    <t>오른쪽 3자리</t>
    <phoneticPr fontId="4" type="noConversion"/>
  </si>
  <si>
    <t>LEFT</t>
    <phoneticPr fontId="4" type="noConversion"/>
  </si>
  <si>
    <t xml:space="preserve">SUBSTITUTE </t>
    <phoneticPr fontId="4" type="noConversion"/>
  </si>
  <si>
    <t>왼쪽 6자리</t>
    <phoneticPr fontId="4" type="noConversion"/>
  </si>
  <si>
    <t>원문</t>
    <phoneticPr fontId="4" type="noConversion"/>
  </si>
  <si>
    <t>왼쪽 7자리</t>
  </si>
  <si>
    <r>
      <t xml:space="preserve">내 </t>
    </r>
    <r>
      <rPr>
        <sz val="10"/>
        <color indexed="10"/>
        <rFont val="맑은 고딕"/>
        <family val="3"/>
        <charset val="129"/>
      </rPr>
      <t>사랑</t>
    </r>
    <r>
      <rPr>
        <sz val="10"/>
        <rFont val="맑은 고딕"/>
        <family val="3"/>
        <charset val="129"/>
      </rPr>
      <t xml:space="preserve"> 그대</t>
    </r>
    <phoneticPr fontId="4" type="noConversion"/>
  </si>
  <si>
    <t>왼쪽 8자리</t>
  </si>
  <si>
    <r>
      <t xml:space="preserve">그대만이 내 </t>
    </r>
    <r>
      <rPr>
        <sz val="10"/>
        <color indexed="10"/>
        <rFont val="맑은 고딕"/>
        <family val="3"/>
        <charset val="129"/>
      </rPr>
      <t>사랑</t>
    </r>
    <phoneticPr fontId="4" type="noConversion"/>
  </si>
  <si>
    <r>
      <t xml:space="preserve">나는 당신을 </t>
    </r>
    <r>
      <rPr>
        <sz val="10"/>
        <color indexed="10"/>
        <rFont val="맑은 고딕"/>
        <family val="3"/>
        <charset val="129"/>
      </rPr>
      <t>사랑 사랑</t>
    </r>
    <r>
      <rPr>
        <sz val="10"/>
        <rFont val="맑은 고딕"/>
        <family val="3"/>
        <charset val="129"/>
      </rPr>
      <t>해</t>
    </r>
    <phoneticPr fontId="4" type="noConversion"/>
  </si>
  <si>
    <t>RAND</t>
    <phoneticPr fontId="4" type="noConversion"/>
  </si>
  <si>
    <t>낙찰하한율</t>
    <phoneticPr fontId="4" type="noConversion"/>
  </si>
  <si>
    <t>기초금액</t>
    <phoneticPr fontId="4" type="noConversion"/>
  </si>
  <si>
    <t>사정율(비율)</t>
    <phoneticPr fontId="4" type="noConversion"/>
  </si>
  <si>
    <t>예상투찰금액</t>
    <phoneticPr fontId="4" type="noConversion"/>
  </si>
  <si>
    <t>낙찰율(기초)</t>
    <phoneticPr fontId="4" type="noConversion"/>
  </si>
  <si>
    <t>사정율</t>
    <phoneticPr fontId="4" type="noConversion"/>
  </si>
  <si>
    <t>ROUNDUP</t>
    <phoneticPr fontId="4" type="noConversion"/>
  </si>
  <si>
    <t>0과 1사이 난수</t>
    <phoneticPr fontId="4" type="noConversion"/>
  </si>
  <si>
    <t>대출액</t>
    <phoneticPr fontId="4" type="noConversion"/>
  </si>
  <si>
    <t>금리(연)</t>
    <phoneticPr fontId="4" type="noConversion"/>
  </si>
  <si>
    <t>일 납주이자액</t>
    <phoneticPr fontId="4" type="noConversion"/>
  </si>
  <si>
    <t>비고 (올림)</t>
    <phoneticPr fontId="4" type="noConversion"/>
  </si>
  <si>
    <t>10과 20사이 난수</t>
    <phoneticPr fontId="4" type="noConversion"/>
  </si>
  <si>
    <t>소수점 첫자리 절상 (0)</t>
    <phoneticPr fontId="4" type="noConversion"/>
  </si>
  <si>
    <t>10원 단위 절상 (-1)</t>
    <phoneticPr fontId="4" type="noConversion"/>
  </si>
  <si>
    <t>100원 단위 절상 (-2)</t>
    <phoneticPr fontId="4" type="noConversion"/>
  </si>
  <si>
    <t>번호 (1~10)</t>
    <phoneticPr fontId="4" type="noConversion"/>
  </si>
  <si>
    <t>중복확인</t>
    <phoneticPr fontId="4" type="noConversion"/>
  </si>
  <si>
    <t>ROUNTDOWN</t>
    <phoneticPr fontId="4" type="noConversion"/>
  </si>
  <si>
    <t>일 납입이자액</t>
    <phoneticPr fontId="4" type="noConversion"/>
  </si>
  <si>
    <t>비고 (내림)</t>
    <phoneticPr fontId="4" type="noConversion"/>
  </si>
  <si>
    <t>소수점 첫자리 절사 (0)</t>
    <phoneticPr fontId="4" type="noConversion"/>
  </si>
  <si>
    <t>10원 단위 절사 (-1)</t>
    <phoneticPr fontId="4" type="noConversion"/>
  </si>
  <si>
    <t>100원 단위 절사 (-2)</t>
    <phoneticPr fontId="4" type="noConversion"/>
  </si>
  <si>
    <t>INT</t>
    <phoneticPr fontId="4" type="noConversion"/>
  </si>
  <si>
    <t>비율</t>
    <phoneticPr fontId="4" type="noConversion"/>
  </si>
  <si>
    <t>INT (정수 내림)</t>
    <phoneticPr fontId="4" type="noConversion"/>
  </si>
  <si>
    <t>일반계산</t>
    <phoneticPr fontId="4" type="noConversion"/>
  </si>
  <si>
    <t>* RAND 함수로 1 ~ 10까지 중복 없는 숫자 지정</t>
    <phoneticPr fontId="4" type="noConversion"/>
  </si>
  <si>
    <t>TRUNC</t>
    <phoneticPr fontId="4" type="noConversion"/>
  </si>
  <si>
    <t>RANDBETWEEN</t>
    <phoneticPr fontId="4" type="noConversion"/>
  </si>
  <si>
    <t>번호선택 (1 ~ 45)</t>
    <phoneticPr fontId="4" type="noConversion"/>
  </si>
  <si>
    <t>0과 10사이 난수</t>
    <phoneticPr fontId="4" type="noConversion"/>
  </si>
  <si>
    <t>86.000 ~ 89.999 사이 난수</t>
    <phoneticPr fontId="4" type="noConversion"/>
  </si>
  <si>
    <t>* RANDBETWEEN 함수는 중복 값을 출력할 수 있음</t>
    <phoneticPr fontId="4" type="noConversion"/>
  </si>
  <si>
    <t>MAX</t>
    <phoneticPr fontId="4" type="noConversion"/>
  </si>
  <si>
    <t>국어</t>
    <phoneticPr fontId="4" type="noConversion"/>
  </si>
  <si>
    <t>순위</t>
    <phoneticPr fontId="4" type="noConversion"/>
  </si>
  <si>
    <t>나학생</t>
    <phoneticPr fontId="4" type="noConversion"/>
  </si>
  <si>
    <t>홍철수</t>
    <phoneticPr fontId="4" type="noConversion"/>
  </si>
  <si>
    <t>안경태</t>
    <phoneticPr fontId="4" type="noConversion"/>
  </si>
  <si>
    <t>문과생</t>
    <phoneticPr fontId="4" type="noConversion"/>
  </si>
  <si>
    <t>MIN</t>
    <phoneticPr fontId="4" type="noConversion"/>
  </si>
  <si>
    <t>성명기준으로 각 항목 값 불러오기</t>
    <phoneticPr fontId="7" type="noConversion"/>
  </si>
  <si>
    <t>성명으로 각 항목 불러오기</t>
    <phoneticPr fontId="7" type="noConversion"/>
  </si>
  <si>
    <t>휴대폰번호</t>
    <phoneticPr fontId="7" type="noConversion"/>
  </si>
  <si>
    <t>거주지역</t>
    <phoneticPr fontId="7" type="noConversion"/>
  </si>
  <si>
    <t>010-1211-1111</t>
    <phoneticPr fontId="7" type="noConversion"/>
  </si>
  <si>
    <t>전주</t>
    <phoneticPr fontId="7" type="noConversion"/>
  </si>
  <si>
    <t>010-1211-1112</t>
  </si>
  <si>
    <t>서울</t>
    <phoneticPr fontId="7" type="noConversion"/>
  </si>
  <si>
    <t>*동명이인일 때, 상단 값 출력 됨(휴대폰처럼 유니크한 값이 기준이 되어야 함)</t>
    <phoneticPr fontId="7" type="noConversion"/>
  </si>
  <si>
    <t>안영희</t>
    <phoneticPr fontId="7" type="noConversion"/>
  </si>
  <si>
    <t>010-1211-1113</t>
  </si>
  <si>
    <t>안산</t>
    <phoneticPr fontId="7" type="noConversion"/>
  </si>
  <si>
    <t>010-1211-1114</t>
  </si>
  <si>
    <t>수원</t>
    <phoneticPr fontId="7" type="noConversion"/>
  </si>
  <si>
    <t>동명이인 각 항목 불러오기(배열함수 ctrl+shift+enter)</t>
    <phoneticPr fontId="7" type="noConversion"/>
  </si>
  <si>
    <t>최철수</t>
    <phoneticPr fontId="7" type="noConversion"/>
  </si>
  <si>
    <t>010-1211-1115</t>
  </si>
  <si>
    <t>부산</t>
    <phoneticPr fontId="7" type="noConversion"/>
  </si>
  <si>
    <t>한주희</t>
    <phoneticPr fontId="7" type="noConversion"/>
  </si>
  <si>
    <t>010-1211-1116</t>
  </si>
  <si>
    <t>대구</t>
    <phoneticPr fontId="7" type="noConversion"/>
  </si>
  <si>
    <t>*함수의 지정범위만 조정해주면 됨</t>
    <phoneticPr fontId="7" type="noConversion"/>
  </si>
  <si>
    <t>사업자번호 기준 지역 찾기</t>
    <phoneticPr fontId="7" type="noConversion"/>
  </si>
  <si>
    <t>사업자번호</t>
    <phoneticPr fontId="7" type="noConversion"/>
  </si>
  <si>
    <t>지역</t>
    <phoneticPr fontId="7" type="noConversion"/>
  </si>
  <si>
    <t>지역(앞세자리)</t>
    <phoneticPr fontId="7" type="noConversion"/>
  </si>
  <si>
    <t>101-81-115258</t>
    <phoneticPr fontId="7" type="noConversion"/>
  </si>
  <si>
    <t>종로</t>
  </si>
  <si>
    <t>개인 과세사업자</t>
    <phoneticPr fontId="7" type="noConversion"/>
  </si>
  <si>
    <t>123-92-112521</t>
    <phoneticPr fontId="7" type="noConversion"/>
  </si>
  <si>
    <t>남대문</t>
  </si>
  <si>
    <t>다단계판매업,아파트관리사무소</t>
  </si>
  <si>
    <t>105-57-112521</t>
    <phoneticPr fontId="7" type="noConversion"/>
  </si>
  <si>
    <t>마포</t>
  </si>
  <si>
    <t>영리법인 본점</t>
  </si>
  <si>
    <t>122-89-112521</t>
    <phoneticPr fontId="7" type="noConversion"/>
  </si>
  <si>
    <t>용산</t>
  </si>
  <si>
    <t>비영리법인(재단,사단)</t>
  </si>
  <si>
    <t>영등포</t>
  </si>
  <si>
    <t>관용및국가단체</t>
  </si>
  <si>
    <t>*사업자 지역정보 일부만 사용(정확히 하려면 전체 필요)</t>
    <phoneticPr fontId="7" type="noConversion"/>
  </si>
  <si>
    <t>동작</t>
  </si>
  <si>
    <t>외국법인본지점,연락사무소</t>
  </si>
  <si>
    <t>강서</t>
  </si>
  <si>
    <t>영리법인의지점(자동차보험피보험자로선정</t>
  </si>
  <si>
    <t>서대문</t>
  </si>
  <si>
    <t>구로</t>
  </si>
  <si>
    <t>중부지방국세청(200)</t>
  </si>
  <si>
    <t>교회등(법인아닌</t>
  </si>
  <si>
    <t>인천</t>
  </si>
  <si>
    <t>개인 면세사업자</t>
  </si>
  <si>
    <t>북인천</t>
  </si>
  <si>
    <t>안양</t>
  </si>
  <si>
    <t>기준값에서 목표 값 찾기</t>
    <phoneticPr fontId="7" type="noConversion"/>
  </si>
  <si>
    <t>가</t>
    <phoneticPr fontId="7" type="noConversion"/>
  </si>
  <si>
    <t>나</t>
    <phoneticPr fontId="7" type="noConversion"/>
  </si>
  <si>
    <t>다</t>
    <phoneticPr fontId="7" type="noConversion"/>
  </si>
  <si>
    <t>라</t>
    <phoneticPr fontId="7" type="noConversion"/>
  </si>
  <si>
    <t>마</t>
    <phoneticPr fontId="7" type="noConversion"/>
  </si>
  <si>
    <t>바</t>
    <phoneticPr fontId="7" type="noConversion"/>
  </si>
  <si>
    <t>사</t>
    <phoneticPr fontId="7" type="noConversion"/>
  </si>
  <si>
    <t>아</t>
    <phoneticPr fontId="7" type="noConversion"/>
  </si>
  <si>
    <t>자</t>
    <phoneticPr fontId="7" type="noConversion"/>
  </si>
  <si>
    <t>*가~자 셀에서 기준값(주황색) 4.20 보다 첫번째로 작은 수 찾기, 기준값보다 작은 값이 없다면 가장 작은 값 찾기</t>
    <phoneticPr fontId="7" type="noConversion"/>
  </si>
  <si>
    <t>기준값보다 1번째 큰값</t>
    <phoneticPr fontId="7" type="noConversion"/>
  </si>
  <si>
    <t>기준값보다 2번째 큰값</t>
  </si>
  <si>
    <t>기준값보다 1번째 작은 값</t>
  </si>
  <si>
    <t>기준값보다 2번째 작은 값</t>
  </si>
  <si>
    <t>기준값보다 3번째 작은 값</t>
    <phoneticPr fontId="7" type="noConversion"/>
  </si>
  <si>
    <t>VLOOKUP 성명에 맞는 각 항목 값 불러오기</t>
    <phoneticPr fontId="4" type="noConversion"/>
  </si>
  <si>
    <t>휴대폰번호 기준 각 항목 불러오기(index, match)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</si>
</sst>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_-;\-* #,##0.0_-;_-* &quot;-&quot;_-;_-@_-"/>
    <numFmt numFmtId="177" formatCode="yy&quot;년&quot;\ m&quot;월&quot;"/>
    <numFmt numFmtId="178" formatCode="yyyy/mm/dd\ hh:mm:ss"/>
    <numFmt numFmtId="179" formatCode="_-* #,##0.000_-;\-* #,##0.000_-;_-* &quot;-&quot;_-;_-@_-"/>
    <numFmt numFmtId="180" formatCode="0.000%"/>
    <numFmt numFmtId="181" formatCode="#,##0.0000_ "/>
    <numFmt numFmtId="182" formatCode="0.000_ "/>
    <numFmt numFmtId="183" formatCode="_-* #,##0.000000_-;\-* #,##0.000000_-;_-* &quot;-&quot;_-;_-@_-"/>
    <numFmt numFmtId="184" formatCode="_-* #,##0.00_-;\-* #,##0.00_-;_-* &quot;-&quot;_-;_-@_-"/>
    <numFmt numFmtId="185" formatCode="#,##0.0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2"/>
      <color rgb="FF333333"/>
      <name val="나눔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/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medium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medium">
        <color theme="1" tint="0.499984740745262"/>
      </top>
      <bottom style="medium">
        <color theme="1" tint="0.499984740745262"/>
      </bottom>
      <diagonal/>
    </border>
  </borders>
  <cellStyleXfs count="5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9" fillId="0" borderId="0"/>
    <xf numFmtId="9" fontId="1" fillId="0" borderId="0" applyFont="0" applyFill="0" applyBorder="0" applyAlignment="0" applyProtection="0"/>
  </cellStyleXfs>
  <cellXfs count="202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49" fontId="6" fillId="0" borderId="0" xfId="1" applyNumberFormat="1" applyFont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shrinkToFit="1"/>
    </xf>
    <xf numFmtId="176" fontId="8" fillId="2" borderId="1" xfId="2" applyNumberFormat="1" applyFont="1" applyFill="1" applyBorder="1" applyAlignment="1">
      <alignment horizontal="center" vertical="center"/>
    </xf>
    <xf numFmtId="41" fontId="8" fillId="2" borderId="1" xfId="2" applyFont="1" applyFill="1" applyBorder="1" applyAlignment="1">
      <alignment horizontal="center" vertical="center"/>
    </xf>
    <xf numFmtId="41" fontId="8" fillId="2" borderId="2" xfId="2" applyFont="1" applyFill="1" applyBorder="1" applyAlignment="1">
      <alignment horizontal="center" vertical="center"/>
    </xf>
    <xf numFmtId="0" fontId="10" fillId="0" borderId="0" xfId="3" applyFont="1" applyAlignment="1">
      <alignment horizontal="center" vertical="center" wrapText="1"/>
    </xf>
    <xf numFmtId="41" fontId="8" fillId="0" borderId="0" xfId="2" applyFont="1" applyFill="1" applyBorder="1" applyAlignment="1">
      <alignment vertical="center"/>
    </xf>
    <xf numFmtId="0" fontId="11" fillId="2" borderId="3" xfId="1" applyFont="1" applyFill="1" applyBorder="1" applyAlignment="1">
      <alignment horizontal="center" vertical="center"/>
    </xf>
    <xf numFmtId="14" fontId="11" fillId="0" borderId="3" xfId="1" applyNumberFormat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14" fontId="10" fillId="0" borderId="4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41" fontId="8" fillId="0" borderId="4" xfId="2" applyFont="1" applyBorder="1" applyAlignment="1">
      <alignment horizontal="center" vertical="center"/>
    </xf>
    <xf numFmtId="41" fontId="8" fillId="0" borderId="4" xfId="2" applyFont="1" applyBorder="1" applyAlignment="1">
      <alignment vertical="center"/>
    </xf>
    <xf numFmtId="41" fontId="8" fillId="0" borderId="4" xfId="2" applyFont="1" applyFill="1" applyBorder="1" applyAlignment="1">
      <alignment vertical="center"/>
    </xf>
    <xf numFmtId="41" fontId="8" fillId="3" borderId="5" xfId="2" applyFont="1" applyFill="1" applyBorder="1" applyAlignment="1">
      <alignment vertical="center"/>
    </xf>
    <xf numFmtId="14" fontId="11" fillId="2" borderId="3" xfId="1" applyNumberFormat="1" applyFont="1" applyFill="1" applyBorder="1" applyAlignment="1">
      <alignment horizontal="center" vertical="center"/>
    </xf>
    <xf numFmtId="41" fontId="11" fillId="3" borderId="3" xfId="2" applyFont="1" applyFill="1" applyBorder="1" applyAlignment="1">
      <alignment horizontal="center" vertical="center"/>
    </xf>
    <xf numFmtId="14" fontId="10" fillId="0" borderId="3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41" fontId="8" fillId="0" borderId="3" xfId="2" applyFont="1" applyBorder="1" applyAlignment="1">
      <alignment horizontal="center" vertical="center"/>
    </xf>
    <xf numFmtId="41" fontId="8" fillId="0" borderId="3" xfId="2" applyFont="1" applyBorder="1" applyAlignment="1">
      <alignment vertical="center"/>
    </xf>
    <xf numFmtId="41" fontId="8" fillId="0" borderId="3" xfId="2" applyFont="1" applyFill="1" applyBorder="1" applyAlignment="1">
      <alignment vertical="center"/>
    </xf>
    <xf numFmtId="0" fontId="10" fillId="4" borderId="3" xfId="3" applyFont="1" applyFill="1" applyBorder="1" applyAlignment="1">
      <alignment horizontal="center" vertical="center" wrapText="1"/>
    </xf>
    <xf numFmtId="41" fontId="8" fillId="3" borderId="6" xfId="2" applyFont="1" applyFill="1" applyBorder="1" applyAlignment="1">
      <alignment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shrinkToFit="1"/>
    </xf>
    <xf numFmtId="41" fontId="10" fillId="0" borderId="0" xfId="2" applyFont="1" applyFill="1" applyBorder="1" applyAlignment="1">
      <alignment horizontal="center" vertical="center" wrapText="1"/>
    </xf>
    <xf numFmtId="14" fontId="10" fillId="0" borderId="0" xfId="1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76" fontId="8" fillId="0" borderId="0" xfId="2" applyNumberFormat="1" applyFont="1" applyBorder="1" applyAlignment="1">
      <alignment horizontal="center" vertical="center"/>
    </xf>
    <xf numFmtId="41" fontId="8" fillId="0" borderId="0" xfId="2" applyFont="1" applyBorder="1" applyAlignment="1">
      <alignment vertical="center"/>
    </xf>
    <xf numFmtId="14" fontId="11" fillId="0" borderId="4" xfId="3" applyNumberFormat="1" applyFont="1" applyBorder="1" applyAlignment="1">
      <alignment horizontal="center" vertical="center" wrapText="1"/>
    </xf>
    <xf numFmtId="41" fontId="12" fillId="0" borderId="4" xfId="2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14" fontId="11" fillId="0" borderId="3" xfId="3" applyNumberFormat="1" applyFont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176" fontId="8" fillId="2" borderId="8" xfId="2" applyNumberFormat="1" applyFont="1" applyFill="1" applyBorder="1" applyAlignment="1">
      <alignment horizontal="center" vertical="center"/>
    </xf>
    <xf numFmtId="41" fontId="8" fillId="0" borderId="0" xfId="2" applyFont="1" applyFill="1" applyBorder="1" applyAlignment="1">
      <alignment horizontal="center" vertical="center"/>
    </xf>
    <xf numFmtId="0" fontId="10" fillId="0" borderId="9" xfId="3" applyFont="1" applyBorder="1" applyAlignment="1">
      <alignment horizontal="center" vertical="center" wrapText="1"/>
    </xf>
    <xf numFmtId="41" fontId="8" fillId="0" borderId="10" xfId="2" applyFont="1" applyBorder="1" applyAlignment="1">
      <alignment horizontal="center" vertical="center"/>
    </xf>
    <xf numFmtId="41" fontId="8" fillId="0" borderId="11" xfId="2" applyFont="1" applyFill="1" applyBorder="1" applyAlignment="1">
      <alignment horizontal="left" vertical="center"/>
    </xf>
    <xf numFmtId="41" fontId="8" fillId="0" borderId="12" xfId="2" applyFont="1" applyFill="1" applyBorder="1" applyAlignment="1">
      <alignment horizontal="left" vertical="center"/>
    </xf>
    <xf numFmtId="41" fontId="8" fillId="3" borderId="12" xfId="2" applyFont="1" applyFill="1" applyBorder="1" applyAlignment="1">
      <alignment vertical="center"/>
    </xf>
    <xf numFmtId="41" fontId="8" fillId="3" borderId="13" xfId="2" applyFont="1" applyFill="1" applyBorder="1" applyAlignment="1">
      <alignment vertical="center"/>
    </xf>
    <xf numFmtId="0" fontId="10" fillId="0" borderId="14" xfId="3" applyFont="1" applyBorder="1" applyAlignment="1">
      <alignment horizontal="center" vertical="center" wrapText="1"/>
    </xf>
    <xf numFmtId="41" fontId="8" fillId="0" borderId="15" xfId="2" applyFont="1" applyFill="1" applyBorder="1" applyAlignment="1">
      <alignment horizontal="left" vertical="center"/>
    </xf>
    <xf numFmtId="41" fontId="8" fillId="0" borderId="3" xfId="2" applyFont="1" applyFill="1" applyBorder="1" applyAlignment="1">
      <alignment horizontal="left" vertical="center"/>
    </xf>
    <xf numFmtId="41" fontId="8" fillId="3" borderId="3" xfId="2" applyFont="1" applyFill="1" applyBorder="1" applyAlignment="1">
      <alignment vertical="center"/>
    </xf>
    <xf numFmtId="41" fontId="8" fillId="3" borderId="16" xfId="2" applyFont="1" applyFill="1" applyBorder="1" applyAlignment="1">
      <alignment vertical="center"/>
    </xf>
    <xf numFmtId="0" fontId="5" fillId="3" borderId="0" xfId="1" applyFont="1" applyFill="1" applyAlignment="1">
      <alignment vertical="center"/>
    </xf>
    <xf numFmtId="41" fontId="8" fillId="0" borderId="17" xfId="2" applyFont="1" applyFill="1" applyBorder="1" applyAlignment="1">
      <alignment horizontal="left" vertical="center" shrinkToFit="1"/>
    </xf>
    <xf numFmtId="41" fontId="8" fillId="0" borderId="15" xfId="2" applyFont="1" applyFill="1" applyBorder="1" applyAlignment="1">
      <alignment horizontal="left" vertical="center" shrinkToFit="1"/>
    </xf>
    <xf numFmtId="0" fontId="6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2" fillId="2" borderId="8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0" borderId="0" xfId="1" applyFont="1" applyAlignment="1">
      <alignment horizontal="center" vertical="center" shrinkToFit="1"/>
    </xf>
    <xf numFmtId="177" fontId="11" fillId="0" borderId="12" xfId="3" applyNumberFormat="1" applyFont="1" applyBorder="1" applyAlignment="1">
      <alignment horizontal="center" vertical="center" wrapText="1"/>
    </xf>
    <xf numFmtId="41" fontId="12" fillId="0" borderId="12" xfId="2" applyFont="1" applyFill="1" applyBorder="1" applyAlignment="1">
      <alignment horizontal="center" vertical="center"/>
    </xf>
    <xf numFmtId="41" fontId="12" fillId="0" borderId="10" xfId="2" applyFont="1" applyFill="1" applyBorder="1" applyAlignment="1">
      <alignment horizontal="center" vertical="center"/>
    </xf>
    <xf numFmtId="14" fontId="10" fillId="0" borderId="4" xfId="3" applyNumberFormat="1" applyFont="1" applyBorder="1" applyAlignment="1">
      <alignment horizontal="center" vertical="center" wrapText="1"/>
    </xf>
    <xf numFmtId="41" fontId="8" fillId="5" borderId="4" xfId="2" applyFont="1" applyFill="1" applyBorder="1" applyAlignment="1">
      <alignment horizontal="center" vertical="center"/>
    </xf>
    <xf numFmtId="41" fontId="8" fillId="5" borderId="10" xfId="2" applyFont="1" applyFill="1" applyBorder="1" applyAlignment="1">
      <alignment horizontal="center" vertical="center"/>
    </xf>
    <xf numFmtId="177" fontId="11" fillId="0" borderId="4" xfId="3" applyNumberFormat="1" applyFont="1" applyBorder="1" applyAlignment="1">
      <alignment horizontal="center" vertical="center" wrapText="1"/>
    </xf>
    <xf numFmtId="14" fontId="10" fillId="0" borderId="3" xfId="3" applyNumberFormat="1" applyFont="1" applyBorder="1" applyAlignment="1">
      <alignment horizontal="center" vertical="center" wrapText="1"/>
    </xf>
    <xf numFmtId="177" fontId="11" fillId="0" borderId="3" xfId="3" applyNumberFormat="1" applyFont="1" applyBorder="1" applyAlignment="1">
      <alignment horizontal="center" vertical="center" wrapText="1"/>
    </xf>
    <xf numFmtId="41" fontId="12" fillId="0" borderId="3" xfId="2" applyFont="1" applyFill="1" applyBorder="1" applyAlignment="1">
      <alignment horizontal="center" vertical="center"/>
    </xf>
    <xf numFmtId="41" fontId="12" fillId="0" borderId="16" xfId="2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14" fontId="10" fillId="0" borderId="13" xfId="3" applyNumberFormat="1" applyFont="1" applyBorder="1" applyAlignment="1">
      <alignment horizontal="center" vertical="center" wrapText="1"/>
    </xf>
    <xf numFmtId="14" fontId="10" fillId="0" borderId="11" xfId="3" applyNumberFormat="1" applyFont="1" applyBorder="1" applyAlignment="1">
      <alignment horizontal="center" vertical="center" wrapText="1"/>
    </xf>
    <xf numFmtId="41" fontId="8" fillId="0" borderId="4" xfId="2" applyFont="1" applyFill="1" applyBorder="1" applyAlignment="1">
      <alignment horizontal="center" vertical="center"/>
    </xf>
    <xf numFmtId="14" fontId="10" fillId="0" borderId="16" xfId="3" applyNumberFormat="1" applyFont="1" applyBorder="1" applyAlignment="1">
      <alignment horizontal="center" vertical="center" wrapText="1"/>
    </xf>
    <xf numFmtId="14" fontId="10" fillId="0" borderId="15" xfId="3" applyNumberFormat="1" applyFont="1" applyBorder="1" applyAlignment="1">
      <alignment horizontal="center" vertical="center" wrapText="1"/>
    </xf>
    <xf numFmtId="41" fontId="8" fillId="0" borderId="3" xfId="2" applyFont="1" applyFill="1" applyBorder="1" applyAlignment="1">
      <alignment horizontal="center" vertical="center"/>
    </xf>
    <xf numFmtId="41" fontId="12" fillId="5" borderId="3" xfId="2" applyFont="1" applyFill="1" applyBorder="1" applyAlignment="1">
      <alignment horizontal="center" vertical="center"/>
    </xf>
    <xf numFmtId="41" fontId="12" fillId="5" borderId="16" xfId="2" applyFont="1" applyFill="1" applyBorder="1" applyAlignment="1">
      <alignment horizontal="center" vertical="center"/>
    </xf>
    <xf numFmtId="176" fontId="14" fillId="0" borderId="0" xfId="2" applyNumberFormat="1" applyFont="1" applyFill="1" applyBorder="1" applyAlignment="1">
      <alignment horizontal="center" vertical="center"/>
    </xf>
    <xf numFmtId="14" fontId="10" fillId="0" borderId="9" xfId="3" applyNumberFormat="1" applyFont="1" applyBorder="1" applyAlignment="1">
      <alignment horizontal="center" vertical="center" wrapText="1"/>
    </xf>
    <xf numFmtId="41" fontId="8" fillId="3" borderId="4" xfId="2" applyFont="1" applyFill="1" applyBorder="1" applyAlignment="1">
      <alignment horizontal="center" vertical="center"/>
    </xf>
    <xf numFmtId="41" fontId="8" fillId="0" borderId="0" xfId="2" applyFont="1" applyBorder="1" applyAlignment="1">
      <alignment horizontal="center" vertical="center"/>
    </xf>
    <xf numFmtId="41" fontId="8" fillId="0" borderId="10" xfId="2" applyFont="1" applyBorder="1" applyAlignment="1">
      <alignment vertical="center"/>
    </xf>
    <xf numFmtId="14" fontId="10" fillId="0" borderId="14" xfId="3" applyNumberFormat="1" applyFont="1" applyBorder="1" applyAlignment="1">
      <alignment horizontal="center" vertical="center" wrapText="1"/>
    </xf>
    <xf numFmtId="41" fontId="8" fillId="0" borderId="16" xfId="2" applyFont="1" applyBorder="1" applyAlignment="1">
      <alignment vertical="center"/>
    </xf>
    <xf numFmtId="14" fontId="8" fillId="0" borderId="4" xfId="2" applyNumberFormat="1" applyFont="1" applyFill="1" applyBorder="1" applyAlignment="1">
      <alignment horizontal="center" vertical="center"/>
    </xf>
    <xf numFmtId="14" fontId="8" fillId="0" borderId="3" xfId="2" applyNumberFormat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shrinkToFit="1"/>
    </xf>
    <xf numFmtId="0" fontId="8" fillId="2" borderId="19" xfId="1" applyFont="1" applyFill="1" applyBorder="1" applyAlignment="1">
      <alignment horizontal="center" vertical="center" shrinkToFit="1"/>
    </xf>
    <xf numFmtId="0" fontId="8" fillId="2" borderId="18" xfId="1" applyFont="1" applyFill="1" applyBorder="1" applyAlignment="1">
      <alignment horizontal="center" vertical="center" shrinkToFit="1"/>
    </xf>
    <xf numFmtId="14" fontId="10" fillId="0" borderId="12" xfId="3" applyNumberFormat="1" applyFont="1" applyBorder="1" applyAlignment="1">
      <alignment horizontal="center" vertical="center" wrapText="1"/>
    </xf>
    <xf numFmtId="14" fontId="8" fillId="5" borderId="12" xfId="1" applyNumberFormat="1" applyFont="1" applyFill="1" applyBorder="1" applyAlignment="1">
      <alignment horizontal="center" vertical="center"/>
    </xf>
    <xf numFmtId="14" fontId="10" fillId="5" borderId="4" xfId="3" applyNumberFormat="1" applyFont="1" applyFill="1" applyBorder="1" applyAlignment="1">
      <alignment horizontal="center" vertical="center" wrapText="1"/>
    </xf>
    <xf numFmtId="0" fontId="8" fillId="5" borderId="10" xfId="1" applyFont="1" applyFill="1" applyBorder="1" applyAlignment="1">
      <alignment horizontal="center" vertical="center"/>
    </xf>
    <xf numFmtId="0" fontId="8" fillId="5" borderId="20" xfId="1" applyFont="1" applyFill="1" applyBorder="1" applyAlignment="1">
      <alignment horizontal="center" vertical="center"/>
    </xf>
    <xf numFmtId="0" fontId="8" fillId="5" borderId="21" xfId="1" applyFont="1" applyFill="1" applyBorder="1" applyAlignment="1">
      <alignment horizontal="center" vertical="center"/>
    </xf>
    <xf numFmtId="14" fontId="8" fillId="0" borderId="4" xfId="1" applyNumberFormat="1" applyFont="1" applyBorder="1" applyAlignment="1">
      <alignment horizontal="center" vertical="center"/>
    </xf>
    <xf numFmtId="31" fontId="10" fillId="0" borderId="3" xfId="3" applyNumberFormat="1" applyFont="1" applyBorder="1" applyAlignment="1">
      <alignment horizontal="center" vertical="center" wrapText="1"/>
    </xf>
    <xf numFmtId="14" fontId="8" fillId="5" borderId="3" xfId="1" applyNumberFormat="1" applyFont="1" applyFill="1" applyBorder="1" applyAlignment="1">
      <alignment horizontal="center" vertical="center"/>
    </xf>
    <xf numFmtId="14" fontId="10" fillId="0" borderId="0" xfId="3" applyNumberFormat="1" applyFont="1" applyAlignment="1">
      <alignment horizontal="center" vertical="center" wrapText="1"/>
    </xf>
    <xf numFmtId="14" fontId="8" fillId="0" borderId="3" xfId="1" applyNumberFormat="1" applyFont="1" applyBorder="1" applyAlignment="1">
      <alignment horizontal="center" vertical="center"/>
    </xf>
    <xf numFmtId="0" fontId="10" fillId="0" borderId="3" xfId="3" applyFont="1" applyBorder="1" applyAlignment="1">
      <alignment horizontal="center" vertical="center" wrapText="1"/>
    </xf>
    <xf numFmtId="49" fontId="10" fillId="0" borderId="3" xfId="3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shrinkToFit="1"/>
    </xf>
    <xf numFmtId="178" fontId="10" fillId="5" borderId="4" xfId="3" applyNumberFormat="1" applyFont="1" applyFill="1" applyBorder="1" applyAlignment="1">
      <alignment horizontal="center" vertical="center" wrapText="1"/>
    </xf>
    <xf numFmtId="14" fontId="8" fillId="5" borderId="4" xfId="2" applyNumberFormat="1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14" fontId="8" fillId="5" borderId="4" xfId="2" applyNumberFormat="1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41" fontId="8" fillId="0" borderId="12" xfId="2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/>
    </xf>
    <xf numFmtId="14" fontId="10" fillId="0" borderId="22" xfId="3" applyNumberFormat="1" applyFont="1" applyBorder="1" applyAlignment="1">
      <alignment horizontal="center" vertical="center" wrapText="1"/>
    </xf>
    <xf numFmtId="14" fontId="10" fillId="5" borderId="22" xfId="3" applyNumberFormat="1" applyFont="1" applyFill="1" applyBorder="1" applyAlignment="1">
      <alignment horizontal="center" vertical="center" wrapText="1"/>
    </xf>
    <xf numFmtId="0" fontId="8" fillId="5" borderId="22" xfId="1" applyFont="1" applyFill="1" applyBorder="1" applyAlignment="1">
      <alignment horizontal="center" vertical="center"/>
    </xf>
    <xf numFmtId="14" fontId="10" fillId="5" borderId="3" xfId="3" applyNumberFormat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/>
    </xf>
    <xf numFmtId="0" fontId="19" fillId="0" borderId="0" xfId="1" applyFont="1" applyAlignment="1">
      <alignment vertical="center"/>
    </xf>
    <xf numFmtId="41" fontId="8" fillId="0" borderId="23" xfId="2" applyFont="1" applyBorder="1" applyAlignment="1">
      <alignment horizontal="center" vertical="center"/>
    </xf>
    <xf numFmtId="41" fontId="8" fillId="5" borderId="12" xfId="2" applyFont="1" applyFill="1" applyBorder="1" applyAlignment="1">
      <alignment vertical="center"/>
    </xf>
    <xf numFmtId="41" fontId="8" fillId="0" borderId="4" xfId="2" applyFont="1" applyBorder="1" applyAlignment="1">
      <alignment horizontal="center" vertical="center"/>
    </xf>
    <xf numFmtId="41" fontId="8" fillId="5" borderId="3" xfId="2" applyFont="1" applyFill="1" applyBorder="1" applyAlignment="1">
      <alignment vertical="center"/>
    </xf>
    <xf numFmtId="41" fontId="8" fillId="0" borderId="24" xfId="2" applyFont="1" applyBorder="1" applyAlignment="1">
      <alignment horizontal="center" vertical="center"/>
    </xf>
    <xf numFmtId="41" fontId="8" fillId="0" borderId="24" xfId="2" applyFont="1" applyBorder="1" applyAlignment="1">
      <alignment vertical="center"/>
    </xf>
    <xf numFmtId="0" fontId="20" fillId="0" borderId="0" xfId="1" applyFont="1" applyAlignment="1">
      <alignment vertical="center"/>
    </xf>
    <xf numFmtId="49" fontId="10" fillId="0" borderId="12" xfId="2" applyNumberFormat="1" applyFont="1" applyBorder="1" applyAlignment="1">
      <alignment horizontal="center" vertical="center" wrapText="1"/>
    </xf>
    <xf numFmtId="41" fontId="8" fillId="5" borderId="12" xfId="2" applyFont="1" applyFill="1" applyBorder="1" applyAlignment="1">
      <alignment horizontal="center" vertical="center"/>
    </xf>
    <xf numFmtId="41" fontId="10" fillId="0" borderId="12" xfId="2" applyFont="1" applyBorder="1" applyAlignment="1">
      <alignment horizontal="center" vertical="center" wrapText="1"/>
    </xf>
    <xf numFmtId="41" fontId="8" fillId="5" borderId="3" xfId="2" applyFont="1" applyFill="1" applyBorder="1" applyAlignment="1">
      <alignment horizontal="center" vertical="center"/>
    </xf>
    <xf numFmtId="41" fontId="10" fillId="0" borderId="3" xfId="2" applyFont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 shrinkToFit="1"/>
    </xf>
    <xf numFmtId="0" fontId="8" fillId="5" borderId="22" xfId="1" applyFont="1" applyFill="1" applyBorder="1" applyAlignment="1">
      <alignment horizontal="center" vertical="center"/>
    </xf>
    <xf numFmtId="14" fontId="10" fillId="0" borderId="12" xfId="3" applyNumberFormat="1" applyFont="1" applyBorder="1" applyAlignment="1">
      <alignment horizontal="center" vertical="center" wrapText="1"/>
    </xf>
    <xf numFmtId="41" fontId="8" fillId="5" borderId="12" xfId="2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14" fontId="10" fillId="0" borderId="3" xfId="3" applyNumberFormat="1" applyFont="1" applyBorder="1" applyAlignment="1">
      <alignment horizontal="center" vertical="center" wrapText="1"/>
    </xf>
    <xf numFmtId="41" fontId="8" fillId="5" borderId="3" xfId="2" applyFont="1" applyFill="1" applyBorder="1" applyAlignment="1">
      <alignment horizontal="center" vertical="center"/>
    </xf>
    <xf numFmtId="179" fontId="10" fillId="0" borderId="4" xfId="2" applyNumberFormat="1" applyFont="1" applyBorder="1" applyAlignment="1">
      <alignment horizontal="center" vertical="center" wrapText="1"/>
    </xf>
    <xf numFmtId="179" fontId="8" fillId="0" borderId="4" xfId="2" applyNumberFormat="1" applyFont="1" applyFill="1" applyBorder="1" applyAlignment="1">
      <alignment horizontal="center" vertical="center"/>
    </xf>
    <xf numFmtId="180" fontId="10" fillId="0" borderId="12" xfId="3" applyNumberFormat="1" applyFont="1" applyBorder="1" applyAlignment="1">
      <alignment horizontal="center" vertical="center" wrapText="1"/>
    </xf>
    <xf numFmtId="181" fontId="8" fillId="5" borderId="12" xfId="2" applyNumberFormat="1" applyFont="1" applyFill="1" applyBorder="1" applyAlignment="1">
      <alignment horizontal="center" vertical="center"/>
    </xf>
    <xf numFmtId="180" fontId="5" fillId="0" borderId="12" xfId="4" applyNumberFormat="1" applyFont="1" applyBorder="1" applyAlignment="1">
      <alignment vertical="center"/>
    </xf>
    <xf numFmtId="182" fontId="5" fillId="0" borderId="12" xfId="1" applyNumberFormat="1" applyFont="1" applyBorder="1" applyAlignment="1">
      <alignment vertical="center"/>
    </xf>
    <xf numFmtId="0" fontId="8" fillId="2" borderId="22" xfId="1" applyFont="1" applyFill="1" applyBorder="1" applyAlignment="1">
      <alignment horizontal="center" vertical="center" shrinkToFit="1"/>
    </xf>
    <xf numFmtId="179" fontId="10" fillId="0" borderId="3" xfId="2" applyNumberFormat="1" applyFont="1" applyBorder="1" applyAlignment="1">
      <alignment horizontal="center" vertical="center" wrapText="1"/>
    </xf>
    <xf numFmtId="180" fontId="10" fillId="0" borderId="3" xfId="3" applyNumberFormat="1" applyFont="1" applyBorder="1" applyAlignment="1">
      <alignment horizontal="center" vertical="center" wrapText="1"/>
    </xf>
    <xf numFmtId="181" fontId="8" fillId="5" borderId="3" xfId="2" applyNumberFormat="1" applyFont="1" applyFill="1" applyBorder="1" applyAlignment="1">
      <alignment horizontal="center" vertical="center"/>
    </xf>
    <xf numFmtId="180" fontId="5" fillId="0" borderId="3" xfId="4" applyNumberFormat="1" applyFont="1" applyBorder="1" applyAlignment="1">
      <alignment vertical="center"/>
    </xf>
    <xf numFmtId="182" fontId="5" fillId="0" borderId="3" xfId="1" applyNumberFormat="1" applyFont="1" applyBorder="1" applyAlignment="1">
      <alignment vertical="center"/>
    </xf>
    <xf numFmtId="10" fontId="8" fillId="0" borderId="12" xfId="2" applyNumberFormat="1" applyFont="1" applyFill="1" applyBorder="1" applyAlignment="1">
      <alignment horizontal="center" vertical="center"/>
    </xf>
    <xf numFmtId="41" fontId="8" fillId="0" borderId="13" xfId="2" applyFont="1" applyFill="1" applyBorder="1" applyAlignment="1">
      <alignment horizontal="center" vertical="center"/>
    </xf>
    <xf numFmtId="41" fontId="8" fillId="0" borderId="11" xfId="2" applyFont="1" applyFill="1" applyBorder="1" applyAlignment="1">
      <alignment horizontal="center" vertical="center"/>
    </xf>
    <xf numFmtId="179" fontId="8" fillId="0" borderId="3" xfId="2" applyNumberFormat="1" applyFont="1" applyFill="1" applyBorder="1" applyAlignment="1">
      <alignment horizontal="center" vertical="center"/>
    </xf>
    <xf numFmtId="10" fontId="8" fillId="0" borderId="3" xfId="2" applyNumberFormat="1" applyFont="1" applyFill="1" applyBorder="1" applyAlignment="1">
      <alignment horizontal="center" vertical="center"/>
    </xf>
    <xf numFmtId="41" fontId="8" fillId="0" borderId="16" xfId="2" applyFont="1" applyFill="1" applyBorder="1" applyAlignment="1">
      <alignment horizontal="center" vertical="center"/>
    </xf>
    <xf numFmtId="41" fontId="8" fillId="0" borderId="15" xfId="2" applyFont="1" applyFill="1" applyBorder="1" applyAlignment="1">
      <alignment horizontal="center" vertical="center"/>
    </xf>
    <xf numFmtId="179" fontId="10" fillId="0" borderId="0" xfId="2" applyNumberFormat="1" applyFont="1" applyBorder="1" applyAlignment="1">
      <alignment horizontal="center" vertical="center" wrapText="1"/>
    </xf>
    <xf numFmtId="179" fontId="8" fillId="0" borderId="0" xfId="2" applyNumberFormat="1" applyFont="1" applyFill="1" applyBorder="1" applyAlignment="1">
      <alignment horizontal="center" vertical="center"/>
    </xf>
    <xf numFmtId="180" fontId="10" fillId="0" borderId="0" xfId="3" applyNumberFormat="1" applyFont="1" applyAlignment="1">
      <alignment horizontal="center" vertical="center" wrapText="1"/>
    </xf>
    <xf numFmtId="181" fontId="8" fillId="0" borderId="0" xfId="2" applyNumberFormat="1" applyFont="1" applyFill="1" applyBorder="1" applyAlignment="1">
      <alignment horizontal="center" vertical="center"/>
    </xf>
    <xf numFmtId="180" fontId="5" fillId="0" borderId="0" xfId="4" applyNumberFormat="1" applyFont="1" applyBorder="1" applyAlignment="1">
      <alignment vertical="center"/>
    </xf>
    <xf numFmtId="182" fontId="5" fillId="0" borderId="0" xfId="1" applyNumberFormat="1" applyFont="1" applyAlignment="1">
      <alignment vertical="center"/>
    </xf>
    <xf numFmtId="41" fontId="8" fillId="0" borderId="16" xfId="2" applyFont="1" applyFill="1" applyBorder="1" applyAlignment="1">
      <alignment horizontal="center" vertical="center" wrapText="1"/>
    </xf>
    <xf numFmtId="41" fontId="8" fillId="0" borderId="15" xfId="2" applyFont="1" applyFill="1" applyBorder="1" applyAlignment="1">
      <alignment horizontal="center" vertical="center" wrapText="1"/>
    </xf>
    <xf numFmtId="10" fontId="8" fillId="2" borderId="7" xfId="1" applyNumberFormat="1" applyFont="1" applyFill="1" applyBorder="1" applyAlignment="1">
      <alignment horizontal="center" vertical="center"/>
    </xf>
    <xf numFmtId="183" fontId="10" fillId="5" borderId="12" xfId="2" applyNumberFormat="1" applyFont="1" applyFill="1" applyBorder="1" applyAlignment="1">
      <alignment horizontal="center" vertical="center" wrapText="1"/>
    </xf>
    <xf numFmtId="183" fontId="10" fillId="5" borderId="3" xfId="2" applyNumberFormat="1" applyFont="1" applyFill="1" applyBorder="1" applyAlignment="1">
      <alignment horizontal="center" vertical="center" wrapText="1"/>
    </xf>
    <xf numFmtId="41" fontId="8" fillId="2" borderId="7" xfId="2" applyFont="1" applyFill="1" applyBorder="1" applyAlignment="1">
      <alignment horizontal="center" vertical="center"/>
    </xf>
    <xf numFmtId="41" fontId="8" fillId="2" borderId="1" xfId="2" applyFont="1" applyFill="1" applyBorder="1" applyAlignment="1">
      <alignment horizontal="center" vertical="center" shrinkToFit="1"/>
    </xf>
    <xf numFmtId="184" fontId="8" fillId="5" borderId="12" xfId="2" applyNumberFormat="1" applyFont="1" applyFill="1" applyBorder="1" applyAlignment="1">
      <alignment horizontal="center" vertical="center"/>
    </xf>
    <xf numFmtId="184" fontId="10" fillId="0" borderId="12" xfId="2" applyNumberFormat="1" applyFont="1" applyBorder="1" applyAlignment="1">
      <alignment horizontal="center" vertical="center" wrapText="1"/>
    </xf>
    <xf numFmtId="184" fontId="8" fillId="5" borderId="3" xfId="2" applyNumberFormat="1" applyFont="1" applyFill="1" applyBorder="1" applyAlignment="1">
      <alignment horizontal="center" vertical="center"/>
    </xf>
    <xf numFmtId="184" fontId="10" fillId="0" borderId="3" xfId="2" applyNumberFormat="1" applyFont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/>
    </xf>
    <xf numFmtId="41" fontId="10" fillId="5" borderId="4" xfId="2" applyFont="1" applyFill="1" applyBorder="1" applyAlignment="1">
      <alignment horizontal="center" vertical="center" wrapText="1"/>
    </xf>
    <xf numFmtId="179" fontId="10" fillId="5" borderId="3" xfId="2" applyNumberFormat="1" applyFont="1" applyFill="1" applyBorder="1" applyAlignment="1">
      <alignment horizontal="center" vertical="center" wrapText="1"/>
    </xf>
    <xf numFmtId="0" fontId="22" fillId="0" borderId="0" xfId="1" applyFont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22" fillId="0" borderId="0" xfId="1" applyFont="1" applyAlignment="1">
      <alignment vertical="center"/>
    </xf>
    <xf numFmtId="185" fontId="11" fillId="6" borderId="3" xfId="1" applyNumberFormat="1" applyFont="1" applyFill="1" applyBorder="1" applyAlignment="1">
      <alignment horizontal="center" vertical="center"/>
    </xf>
    <xf numFmtId="184" fontId="11" fillId="0" borderId="0" xfId="2" applyNumberFormat="1" applyFont="1" applyAlignment="1">
      <alignment horizontal="center" vertical="center"/>
    </xf>
    <xf numFmtId="184" fontId="11" fillId="0" borderId="4" xfId="2" applyNumberFormat="1" applyFont="1" applyBorder="1" applyAlignment="1">
      <alignment horizontal="center" vertical="center"/>
    </xf>
    <xf numFmtId="184" fontId="22" fillId="0" borderId="4" xfId="2" applyNumberFormat="1" applyFont="1" applyBorder="1" applyAlignment="1">
      <alignment horizontal="center" vertical="center"/>
    </xf>
    <xf numFmtId="184" fontId="11" fillId="7" borderId="3" xfId="2" applyNumberFormat="1" applyFont="1" applyFill="1" applyBorder="1" applyAlignment="1">
      <alignment horizontal="center" vertical="center"/>
    </xf>
    <xf numFmtId="184" fontId="11" fillId="0" borderId="3" xfId="2" applyNumberFormat="1" applyFont="1" applyBorder="1" applyAlignment="1">
      <alignment horizontal="center" vertical="center"/>
    </xf>
    <xf numFmtId="184" fontId="22" fillId="0" borderId="3" xfId="2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11" fillId="3" borderId="4" xfId="1" applyFont="1" applyFill="1" applyBorder="1" applyAlignment="1">
      <alignment horizontal="center" vertical="center"/>
    </xf>
    <xf numFmtId="0" fontId="23" fillId="0" borderId="0" xfId="1" applyFont="1" applyAlignment="1">
      <alignment vertical="center"/>
    </xf>
  </cellXfs>
  <cellStyles count="5">
    <cellStyle name="백분율 2" xfId="4" xr:uid="{C44A1FF5-F36A-4D73-A912-AE242EB3E122}"/>
    <cellStyle name="쉼표 [0] 2" xfId="2" xr:uid="{89905049-0EBA-4A5D-B8D8-87277492769B}"/>
    <cellStyle name="표준" xfId="0" builtinId="0"/>
    <cellStyle name="표준 2" xfId="1" xr:uid="{7EE84E6C-0281-4703-A923-AC3DD55CFFC0}"/>
    <cellStyle name="표준 3 5" xfId="3" xr:uid="{D2D9A7ED-7BE9-44F7-852A-5BB2F80A6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5CF7-BF4D-4666-B0D5-682B647414ED}">
  <dimension ref="B2:S45"/>
  <sheetViews>
    <sheetView showGridLines="0" tabSelected="1" zoomScale="85" zoomScaleNormal="85" workbookViewId="0">
      <selection activeCell="N3" sqref="N3"/>
    </sheetView>
  </sheetViews>
  <sheetFormatPr defaultRowHeight="18" customHeight="1" x14ac:dyDescent="0.3"/>
  <cols>
    <col min="1" max="1" width="2" style="2" customWidth="1"/>
    <col min="2" max="2" width="13.875" style="2" customWidth="1"/>
    <col min="3" max="3" width="13.25" style="2" customWidth="1"/>
    <col min="4" max="4" width="15.375" style="2" customWidth="1"/>
    <col min="5" max="13" width="12.25" style="2" customWidth="1"/>
    <col min="14" max="19" width="14.75" style="2" customWidth="1"/>
    <col min="20" max="256" width="9" style="2"/>
    <col min="257" max="257" width="2" style="2" customWidth="1"/>
    <col min="258" max="258" width="13.875" style="2" customWidth="1"/>
    <col min="259" max="259" width="13.25" style="2" customWidth="1"/>
    <col min="260" max="260" width="15.375" style="2" customWidth="1"/>
    <col min="261" max="269" width="12.25" style="2" customWidth="1"/>
    <col min="270" max="512" width="9" style="2"/>
    <col min="513" max="513" width="2" style="2" customWidth="1"/>
    <col min="514" max="514" width="13.875" style="2" customWidth="1"/>
    <col min="515" max="515" width="13.25" style="2" customWidth="1"/>
    <col min="516" max="516" width="15.375" style="2" customWidth="1"/>
    <col min="517" max="525" width="12.25" style="2" customWidth="1"/>
    <col min="526" max="768" width="9" style="2"/>
    <col min="769" max="769" width="2" style="2" customWidth="1"/>
    <col min="770" max="770" width="13.875" style="2" customWidth="1"/>
    <col min="771" max="771" width="13.25" style="2" customWidth="1"/>
    <col min="772" max="772" width="15.375" style="2" customWidth="1"/>
    <col min="773" max="781" width="12.25" style="2" customWidth="1"/>
    <col min="782" max="1024" width="9" style="2"/>
    <col min="1025" max="1025" width="2" style="2" customWidth="1"/>
    <col min="1026" max="1026" width="13.875" style="2" customWidth="1"/>
    <col min="1027" max="1027" width="13.25" style="2" customWidth="1"/>
    <col min="1028" max="1028" width="15.375" style="2" customWidth="1"/>
    <col min="1029" max="1037" width="12.25" style="2" customWidth="1"/>
    <col min="1038" max="1280" width="9" style="2"/>
    <col min="1281" max="1281" width="2" style="2" customWidth="1"/>
    <col min="1282" max="1282" width="13.875" style="2" customWidth="1"/>
    <col min="1283" max="1283" width="13.25" style="2" customWidth="1"/>
    <col min="1284" max="1284" width="15.375" style="2" customWidth="1"/>
    <col min="1285" max="1293" width="12.25" style="2" customWidth="1"/>
    <col min="1294" max="1536" width="9" style="2"/>
    <col min="1537" max="1537" width="2" style="2" customWidth="1"/>
    <col min="1538" max="1538" width="13.875" style="2" customWidth="1"/>
    <col min="1539" max="1539" width="13.25" style="2" customWidth="1"/>
    <col min="1540" max="1540" width="15.375" style="2" customWidth="1"/>
    <col min="1541" max="1549" width="12.25" style="2" customWidth="1"/>
    <col min="1550" max="1792" width="9" style="2"/>
    <col min="1793" max="1793" width="2" style="2" customWidth="1"/>
    <col min="1794" max="1794" width="13.875" style="2" customWidth="1"/>
    <col min="1795" max="1795" width="13.25" style="2" customWidth="1"/>
    <col min="1796" max="1796" width="15.375" style="2" customWidth="1"/>
    <col min="1797" max="1805" width="12.25" style="2" customWidth="1"/>
    <col min="1806" max="2048" width="9" style="2"/>
    <col min="2049" max="2049" width="2" style="2" customWidth="1"/>
    <col min="2050" max="2050" width="13.875" style="2" customWidth="1"/>
    <col min="2051" max="2051" width="13.25" style="2" customWidth="1"/>
    <col min="2052" max="2052" width="15.375" style="2" customWidth="1"/>
    <col min="2053" max="2061" width="12.25" style="2" customWidth="1"/>
    <col min="2062" max="2304" width="9" style="2"/>
    <col min="2305" max="2305" width="2" style="2" customWidth="1"/>
    <col min="2306" max="2306" width="13.875" style="2" customWidth="1"/>
    <col min="2307" max="2307" width="13.25" style="2" customWidth="1"/>
    <col min="2308" max="2308" width="15.375" style="2" customWidth="1"/>
    <col min="2309" max="2317" width="12.25" style="2" customWidth="1"/>
    <col min="2318" max="2560" width="9" style="2"/>
    <col min="2561" max="2561" width="2" style="2" customWidth="1"/>
    <col min="2562" max="2562" width="13.875" style="2" customWidth="1"/>
    <col min="2563" max="2563" width="13.25" style="2" customWidth="1"/>
    <col min="2564" max="2564" width="15.375" style="2" customWidth="1"/>
    <col min="2565" max="2573" width="12.25" style="2" customWidth="1"/>
    <col min="2574" max="2816" width="9" style="2"/>
    <col min="2817" max="2817" width="2" style="2" customWidth="1"/>
    <col min="2818" max="2818" width="13.875" style="2" customWidth="1"/>
    <col min="2819" max="2819" width="13.25" style="2" customWidth="1"/>
    <col min="2820" max="2820" width="15.375" style="2" customWidth="1"/>
    <col min="2821" max="2829" width="12.25" style="2" customWidth="1"/>
    <col min="2830" max="3072" width="9" style="2"/>
    <col min="3073" max="3073" width="2" style="2" customWidth="1"/>
    <col min="3074" max="3074" width="13.875" style="2" customWidth="1"/>
    <col min="3075" max="3075" width="13.25" style="2" customWidth="1"/>
    <col min="3076" max="3076" width="15.375" style="2" customWidth="1"/>
    <col min="3077" max="3085" width="12.25" style="2" customWidth="1"/>
    <col min="3086" max="3328" width="9" style="2"/>
    <col min="3329" max="3329" width="2" style="2" customWidth="1"/>
    <col min="3330" max="3330" width="13.875" style="2" customWidth="1"/>
    <col min="3331" max="3331" width="13.25" style="2" customWidth="1"/>
    <col min="3332" max="3332" width="15.375" style="2" customWidth="1"/>
    <col min="3333" max="3341" width="12.25" style="2" customWidth="1"/>
    <col min="3342" max="3584" width="9" style="2"/>
    <col min="3585" max="3585" width="2" style="2" customWidth="1"/>
    <col min="3586" max="3586" width="13.875" style="2" customWidth="1"/>
    <col min="3587" max="3587" width="13.25" style="2" customWidth="1"/>
    <col min="3588" max="3588" width="15.375" style="2" customWidth="1"/>
    <col min="3589" max="3597" width="12.25" style="2" customWidth="1"/>
    <col min="3598" max="3840" width="9" style="2"/>
    <col min="3841" max="3841" width="2" style="2" customWidth="1"/>
    <col min="3842" max="3842" width="13.875" style="2" customWidth="1"/>
    <col min="3843" max="3843" width="13.25" style="2" customWidth="1"/>
    <col min="3844" max="3844" width="15.375" style="2" customWidth="1"/>
    <col min="3845" max="3853" width="12.25" style="2" customWidth="1"/>
    <col min="3854" max="4096" width="9" style="2"/>
    <col min="4097" max="4097" width="2" style="2" customWidth="1"/>
    <col min="4098" max="4098" width="13.875" style="2" customWidth="1"/>
    <col min="4099" max="4099" width="13.25" style="2" customWidth="1"/>
    <col min="4100" max="4100" width="15.375" style="2" customWidth="1"/>
    <col min="4101" max="4109" width="12.25" style="2" customWidth="1"/>
    <col min="4110" max="4352" width="9" style="2"/>
    <col min="4353" max="4353" width="2" style="2" customWidth="1"/>
    <col min="4354" max="4354" width="13.875" style="2" customWidth="1"/>
    <col min="4355" max="4355" width="13.25" style="2" customWidth="1"/>
    <col min="4356" max="4356" width="15.375" style="2" customWidth="1"/>
    <col min="4357" max="4365" width="12.25" style="2" customWidth="1"/>
    <col min="4366" max="4608" width="9" style="2"/>
    <col min="4609" max="4609" width="2" style="2" customWidth="1"/>
    <col min="4610" max="4610" width="13.875" style="2" customWidth="1"/>
    <col min="4611" max="4611" width="13.25" style="2" customWidth="1"/>
    <col min="4612" max="4612" width="15.375" style="2" customWidth="1"/>
    <col min="4613" max="4621" width="12.25" style="2" customWidth="1"/>
    <col min="4622" max="4864" width="9" style="2"/>
    <col min="4865" max="4865" width="2" style="2" customWidth="1"/>
    <col min="4866" max="4866" width="13.875" style="2" customWidth="1"/>
    <col min="4867" max="4867" width="13.25" style="2" customWidth="1"/>
    <col min="4868" max="4868" width="15.375" style="2" customWidth="1"/>
    <col min="4869" max="4877" width="12.25" style="2" customWidth="1"/>
    <col min="4878" max="5120" width="9" style="2"/>
    <col min="5121" max="5121" width="2" style="2" customWidth="1"/>
    <col min="5122" max="5122" width="13.875" style="2" customWidth="1"/>
    <col min="5123" max="5123" width="13.25" style="2" customWidth="1"/>
    <col min="5124" max="5124" width="15.375" style="2" customWidth="1"/>
    <col min="5125" max="5133" width="12.25" style="2" customWidth="1"/>
    <col min="5134" max="5376" width="9" style="2"/>
    <col min="5377" max="5377" width="2" style="2" customWidth="1"/>
    <col min="5378" max="5378" width="13.875" style="2" customWidth="1"/>
    <col min="5379" max="5379" width="13.25" style="2" customWidth="1"/>
    <col min="5380" max="5380" width="15.375" style="2" customWidth="1"/>
    <col min="5381" max="5389" width="12.25" style="2" customWidth="1"/>
    <col min="5390" max="5632" width="9" style="2"/>
    <col min="5633" max="5633" width="2" style="2" customWidth="1"/>
    <col min="5634" max="5634" width="13.875" style="2" customWidth="1"/>
    <col min="5635" max="5635" width="13.25" style="2" customWidth="1"/>
    <col min="5636" max="5636" width="15.375" style="2" customWidth="1"/>
    <col min="5637" max="5645" width="12.25" style="2" customWidth="1"/>
    <col min="5646" max="5888" width="9" style="2"/>
    <col min="5889" max="5889" width="2" style="2" customWidth="1"/>
    <col min="5890" max="5890" width="13.875" style="2" customWidth="1"/>
    <col min="5891" max="5891" width="13.25" style="2" customWidth="1"/>
    <col min="5892" max="5892" width="15.375" style="2" customWidth="1"/>
    <col min="5893" max="5901" width="12.25" style="2" customWidth="1"/>
    <col min="5902" max="6144" width="9" style="2"/>
    <col min="6145" max="6145" width="2" style="2" customWidth="1"/>
    <col min="6146" max="6146" width="13.875" style="2" customWidth="1"/>
    <col min="6147" max="6147" width="13.25" style="2" customWidth="1"/>
    <col min="6148" max="6148" width="15.375" style="2" customWidth="1"/>
    <col min="6149" max="6157" width="12.25" style="2" customWidth="1"/>
    <col min="6158" max="6400" width="9" style="2"/>
    <col min="6401" max="6401" width="2" style="2" customWidth="1"/>
    <col min="6402" max="6402" width="13.875" style="2" customWidth="1"/>
    <col min="6403" max="6403" width="13.25" style="2" customWidth="1"/>
    <col min="6404" max="6404" width="15.375" style="2" customWidth="1"/>
    <col min="6405" max="6413" width="12.25" style="2" customWidth="1"/>
    <col min="6414" max="6656" width="9" style="2"/>
    <col min="6657" max="6657" width="2" style="2" customWidth="1"/>
    <col min="6658" max="6658" width="13.875" style="2" customWidth="1"/>
    <col min="6659" max="6659" width="13.25" style="2" customWidth="1"/>
    <col min="6660" max="6660" width="15.375" style="2" customWidth="1"/>
    <col min="6661" max="6669" width="12.25" style="2" customWidth="1"/>
    <col min="6670" max="6912" width="9" style="2"/>
    <col min="6913" max="6913" width="2" style="2" customWidth="1"/>
    <col min="6914" max="6914" width="13.875" style="2" customWidth="1"/>
    <col min="6915" max="6915" width="13.25" style="2" customWidth="1"/>
    <col min="6916" max="6916" width="15.375" style="2" customWidth="1"/>
    <col min="6917" max="6925" width="12.25" style="2" customWidth="1"/>
    <col min="6926" max="7168" width="9" style="2"/>
    <col min="7169" max="7169" width="2" style="2" customWidth="1"/>
    <col min="7170" max="7170" width="13.875" style="2" customWidth="1"/>
    <col min="7171" max="7171" width="13.25" style="2" customWidth="1"/>
    <col min="7172" max="7172" width="15.375" style="2" customWidth="1"/>
    <col min="7173" max="7181" width="12.25" style="2" customWidth="1"/>
    <col min="7182" max="7424" width="9" style="2"/>
    <col min="7425" max="7425" width="2" style="2" customWidth="1"/>
    <col min="7426" max="7426" width="13.875" style="2" customWidth="1"/>
    <col min="7427" max="7427" width="13.25" style="2" customWidth="1"/>
    <col min="7428" max="7428" width="15.375" style="2" customWidth="1"/>
    <col min="7429" max="7437" width="12.25" style="2" customWidth="1"/>
    <col min="7438" max="7680" width="9" style="2"/>
    <col min="7681" max="7681" width="2" style="2" customWidth="1"/>
    <col min="7682" max="7682" width="13.875" style="2" customWidth="1"/>
    <col min="7683" max="7683" width="13.25" style="2" customWidth="1"/>
    <col min="7684" max="7684" width="15.375" style="2" customWidth="1"/>
    <col min="7685" max="7693" width="12.25" style="2" customWidth="1"/>
    <col min="7694" max="7936" width="9" style="2"/>
    <col min="7937" max="7937" width="2" style="2" customWidth="1"/>
    <col min="7938" max="7938" width="13.875" style="2" customWidth="1"/>
    <col min="7939" max="7939" width="13.25" style="2" customWidth="1"/>
    <col min="7940" max="7940" width="15.375" style="2" customWidth="1"/>
    <col min="7941" max="7949" width="12.25" style="2" customWidth="1"/>
    <col min="7950" max="8192" width="9" style="2"/>
    <col min="8193" max="8193" width="2" style="2" customWidth="1"/>
    <col min="8194" max="8194" width="13.875" style="2" customWidth="1"/>
    <col min="8195" max="8195" width="13.25" style="2" customWidth="1"/>
    <col min="8196" max="8196" width="15.375" style="2" customWidth="1"/>
    <col min="8197" max="8205" width="12.25" style="2" customWidth="1"/>
    <col min="8206" max="8448" width="9" style="2"/>
    <col min="8449" max="8449" width="2" style="2" customWidth="1"/>
    <col min="8450" max="8450" width="13.875" style="2" customWidth="1"/>
    <col min="8451" max="8451" width="13.25" style="2" customWidth="1"/>
    <col min="8452" max="8452" width="15.375" style="2" customWidth="1"/>
    <col min="8453" max="8461" width="12.25" style="2" customWidth="1"/>
    <col min="8462" max="8704" width="9" style="2"/>
    <col min="8705" max="8705" width="2" style="2" customWidth="1"/>
    <col min="8706" max="8706" width="13.875" style="2" customWidth="1"/>
    <col min="8707" max="8707" width="13.25" style="2" customWidth="1"/>
    <col min="8708" max="8708" width="15.375" style="2" customWidth="1"/>
    <col min="8709" max="8717" width="12.25" style="2" customWidth="1"/>
    <col min="8718" max="8960" width="9" style="2"/>
    <col min="8961" max="8961" width="2" style="2" customWidth="1"/>
    <col min="8962" max="8962" width="13.875" style="2" customWidth="1"/>
    <col min="8963" max="8963" width="13.25" style="2" customWidth="1"/>
    <col min="8964" max="8964" width="15.375" style="2" customWidth="1"/>
    <col min="8965" max="8973" width="12.25" style="2" customWidth="1"/>
    <col min="8974" max="9216" width="9" style="2"/>
    <col min="9217" max="9217" width="2" style="2" customWidth="1"/>
    <col min="9218" max="9218" width="13.875" style="2" customWidth="1"/>
    <col min="9219" max="9219" width="13.25" style="2" customWidth="1"/>
    <col min="9220" max="9220" width="15.375" style="2" customWidth="1"/>
    <col min="9221" max="9229" width="12.25" style="2" customWidth="1"/>
    <col min="9230" max="9472" width="9" style="2"/>
    <col min="9473" max="9473" width="2" style="2" customWidth="1"/>
    <col min="9474" max="9474" width="13.875" style="2" customWidth="1"/>
    <col min="9475" max="9475" width="13.25" style="2" customWidth="1"/>
    <col min="9476" max="9476" width="15.375" style="2" customWidth="1"/>
    <col min="9477" max="9485" width="12.25" style="2" customWidth="1"/>
    <col min="9486" max="9728" width="9" style="2"/>
    <col min="9729" max="9729" width="2" style="2" customWidth="1"/>
    <col min="9730" max="9730" width="13.875" style="2" customWidth="1"/>
    <col min="9731" max="9731" width="13.25" style="2" customWidth="1"/>
    <col min="9732" max="9732" width="15.375" style="2" customWidth="1"/>
    <col min="9733" max="9741" width="12.25" style="2" customWidth="1"/>
    <col min="9742" max="9984" width="9" style="2"/>
    <col min="9985" max="9985" width="2" style="2" customWidth="1"/>
    <col min="9986" max="9986" width="13.875" style="2" customWidth="1"/>
    <col min="9987" max="9987" width="13.25" style="2" customWidth="1"/>
    <col min="9988" max="9988" width="15.375" style="2" customWidth="1"/>
    <col min="9989" max="9997" width="12.25" style="2" customWidth="1"/>
    <col min="9998" max="10240" width="9" style="2"/>
    <col min="10241" max="10241" width="2" style="2" customWidth="1"/>
    <col min="10242" max="10242" width="13.875" style="2" customWidth="1"/>
    <col min="10243" max="10243" width="13.25" style="2" customWidth="1"/>
    <col min="10244" max="10244" width="15.375" style="2" customWidth="1"/>
    <col min="10245" max="10253" width="12.25" style="2" customWidth="1"/>
    <col min="10254" max="10496" width="9" style="2"/>
    <col min="10497" max="10497" width="2" style="2" customWidth="1"/>
    <col min="10498" max="10498" width="13.875" style="2" customWidth="1"/>
    <col min="10499" max="10499" width="13.25" style="2" customWidth="1"/>
    <col min="10500" max="10500" width="15.375" style="2" customWidth="1"/>
    <col min="10501" max="10509" width="12.25" style="2" customWidth="1"/>
    <col min="10510" max="10752" width="9" style="2"/>
    <col min="10753" max="10753" width="2" style="2" customWidth="1"/>
    <col min="10754" max="10754" width="13.875" style="2" customWidth="1"/>
    <col min="10755" max="10755" width="13.25" style="2" customWidth="1"/>
    <col min="10756" max="10756" width="15.375" style="2" customWidth="1"/>
    <col min="10757" max="10765" width="12.25" style="2" customWidth="1"/>
    <col min="10766" max="11008" width="9" style="2"/>
    <col min="11009" max="11009" width="2" style="2" customWidth="1"/>
    <col min="11010" max="11010" width="13.875" style="2" customWidth="1"/>
    <col min="11011" max="11011" width="13.25" style="2" customWidth="1"/>
    <col min="11012" max="11012" width="15.375" style="2" customWidth="1"/>
    <col min="11013" max="11021" width="12.25" style="2" customWidth="1"/>
    <col min="11022" max="11264" width="9" style="2"/>
    <col min="11265" max="11265" width="2" style="2" customWidth="1"/>
    <col min="11266" max="11266" width="13.875" style="2" customWidth="1"/>
    <col min="11267" max="11267" width="13.25" style="2" customWidth="1"/>
    <col min="11268" max="11268" width="15.375" style="2" customWidth="1"/>
    <col min="11269" max="11277" width="12.25" style="2" customWidth="1"/>
    <col min="11278" max="11520" width="9" style="2"/>
    <col min="11521" max="11521" width="2" style="2" customWidth="1"/>
    <col min="11522" max="11522" width="13.875" style="2" customWidth="1"/>
    <col min="11523" max="11523" width="13.25" style="2" customWidth="1"/>
    <col min="11524" max="11524" width="15.375" style="2" customWidth="1"/>
    <col min="11525" max="11533" width="12.25" style="2" customWidth="1"/>
    <col min="11534" max="11776" width="9" style="2"/>
    <col min="11777" max="11777" width="2" style="2" customWidth="1"/>
    <col min="11778" max="11778" width="13.875" style="2" customWidth="1"/>
    <col min="11779" max="11779" width="13.25" style="2" customWidth="1"/>
    <col min="11780" max="11780" width="15.375" style="2" customWidth="1"/>
    <col min="11781" max="11789" width="12.25" style="2" customWidth="1"/>
    <col min="11790" max="12032" width="9" style="2"/>
    <col min="12033" max="12033" width="2" style="2" customWidth="1"/>
    <col min="12034" max="12034" width="13.875" style="2" customWidth="1"/>
    <col min="12035" max="12035" width="13.25" style="2" customWidth="1"/>
    <col min="12036" max="12036" width="15.375" style="2" customWidth="1"/>
    <col min="12037" max="12045" width="12.25" style="2" customWidth="1"/>
    <col min="12046" max="12288" width="9" style="2"/>
    <col min="12289" max="12289" width="2" style="2" customWidth="1"/>
    <col min="12290" max="12290" width="13.875" style="2" customWidth="1"/>
    <col min="12291" max="12291" width="13.25" style="2" customWidth="1"/>
    <col min="12292" max="12292" width="15.375" style="2" customWidth="1"/>
    <col min="12293" max="12301" width="12.25" style="2" customWidth="1"/>
    <col min="12302" max="12544" width="9" style="2"/>
    <col min="12545" max="12545" width="2" style="2" customWidth="1"/>
    <col min="12546" max="12546" width="13.875" style="2" customWidth="1"/>
    <col min="12547" max="12547" width="13.25" style="2" customWidth="1"/>
    <col min="12548" max="12548" width="15.375" style="2" customWidth="1"/>
    <col min="12549" max="12557" width="12.25" style="2" customWidth="1"/>
    <col min="12558" max="12800" width="9" style="2"/>
    <col min="12801" max="12801" width="2" style="2" customWidth="1"/>
    <col min="12802" max="12802" width="13.875" style="2" customWidth="1"/>
    <col min="12803" max="12803" width="13.25" style="2" customWidth="1"/>
    <col min="12804" max="12804" width="15.375" style="2" customWidth="1"/>
    <col min="12805" max="12813" width="12.25" style="2" customWidth="1"/>
    <col min="12814" max="13056" width="9" style="2"/>
    <col min="13057" max="13057" width="2" style="2" customWidth="1"/>
    <col min="13058" max="13058" width="13.875" style="2" customWidth="1"/>
    <col min="13059" max="13059" width="13.25" style="2" customWidth="1"/>
    <col min="13060" max="13060" width="15.375" style="2" customWidth="1"/>
    <col min="13061" max="13069" width="12.25" style="2" customWidth="1"/>
    <col min="13070" max="13312" width="9" style="2"/>
    <col min="13313" max="13313" width="2" style="2" customWidth="1"/>
    <col min="13314" max="13314" width="13.875" style="2" customWidth="1"/>
    <col min="13315" max="13315" width="13.25" style="2" customWidth="1"/>
    <col min="13316" max="13316" width="15.375" style="2" customWidth="1"/>
    <col min="13317" max="13325" width="12.25" style="2" customWidth="1"/>
    <col min="13326" max="13568" width="9" style="2"/>
    <col min="13569" max="13569" width="2" style="2" customWidth="1"/>
    <col min="13570" max="13570" width="13.875" style="2" customWidth="1"/>
    <col min="13571" max="13571" width="13.25" style="2" customWidth="1"/>
    <col min="13572" max="13572" width="15.375" style="2" customWidth="1"/>
    <col min="13573" max="13581" width="12.25" style="2" customWidth="1"/>
    <col min="13582" max="13824" width="9" style="2"/>
    <col min="13825" max="13825" width="2" style="2" customWidth="1"/>
    <col min="13826" max="13826" width="13.875" style="2" customWidth="1"/>
    <col min="13827" max="13827" width="13.25" style="2" customWidth="1"/>
    <col min="13828" max="13828" width="15.375" style="2" customWidth="1"/>
    <col min="13829" max="13837" width="12.25" style="2" customWidth="1"/>
    <col min="13838" max="14080" width="9" style="2"/>
    <col min="14081" max="14081" width="2" style="2" customWidth="1"/>
    <col min="14082" max="14082" width="13.875" style="2" customWidth="1"/>
    <col min="14083" max="14083" width="13.25" style="2" customWidth="1"/>
    <col min="14084" max="14084" width="15.375" style="2" customWidth="1"/>
    <col min="14085" max="14093" width="12.25" style="2" customWidth="1"/>
    <col min="14094" max="14336" width="9" style="2"/>
    <col min="14337" max="14337" width="2" style="2" customWidth="1"/>
    <col min="14338" max="14338" width="13.875" style="2" customWidth="1"/>
    <col min="14339" max="14339" width="13.25" style="2" customWidth="1"/>
    <col min="14340" max="14340" width="15.375" style="2" customWidth="1"/>
    <col min="14341" max="14349" width="12.25" style="2" customWidth="1"/>
    <col min="14350" max="14592" width="9" style="2"/>
    <col min="14593" max="14593" width="2" style="2" customWidth="1"/>
    <col min="14594" max="14594" width="13.875" style="2" customWidth="1"/>
    <col min="14595" max="14595" width="13.25" style="2" customWidth="1"/>
    <col min="14596" max="14596" width="15.375" style="2" customWidth="1"/>
    <col min="14597" max="14605" width="12.25" style="2" customWidth="1"/>
    <col min="14606" max="14848" width="9" style="2"/>
    <col min="14849" max="14849" width="2" style="2" customWidth="1"/>
    <col min="14850" max="14850" width="13.875" style="2" customWidth="1"/>
    <col min="14851" max="14851" width="13.25" style="2" customWidth="1"/>
    <col min="14852" max="14852" width="15.375" style="2" customWidth="1"/>
    <col min="14853" max="14861" width="12.25" style="2" customWidth="1"/>
    <col min="14862" max="15104" width="9" style="2"/>
    <col min="15105" max="15105" width="2" style="2" customWidth="1"/>
    <col min="15106" max="15106" width="13.875" style="2" customWidth="1"/>
    <col min="15107" max="15107" width="13.25" style="2" customWidth="1"/>
    <col min="15108" max="15108" width="15.375" style="2" customWidth="1"/>
    <col min="15109" max="15117" width="12.25" style="2" customWidth="1"/>
    <col min="15118" max="15360" width="9" style="2"/>
    <col min="15361" max="15361" width="2" style="2" customWidth="1"/>
    <col min="15362" max="15362" width="13.875" style="2" customWidth="1"/>
    <col min="15363" max="15363" width="13.25" style="2" customWidth="1"/>
    <col min="15364" max="15364" width="15.375" style="2" customWidth="1"/>
    <col min="15365" max="15373" width="12.25" style="2" customWidth="1"/>
    <col min="15374" max="15616" width="9" style="2"/>
    <col min="15617" max="15617" width="2" style="2" customWidth="1"/>
    <col min="15618" max="15618" width="13.875" style="2" customWidth="1"/>
    <col min="15619" max="15619" width="13.25" style="2" customWidth="1"/>
    <col min="15620" max="15620" width="15.375" style="2" customWidth="1"/>
    <col min="15621" max="15629" width="12.25" style="2" customWidth="1"/>
    <col min="15630" max="15872" width="9" style="2"/>
    <col min="15873" max="15873" width="2" style="2" customWidth="1"/>
    <col min="15874" max="15874" width="13.875" style="2" customWidth="1"/>
    <col min="15875" max="15875" width="13.25" style="2" customWidth="1"/>
    <col min="15876" max="15876" width="15.375" style="2" customWidth="1"/>
    <col min="15877" max="15885" width="12.25" style="2" customWidth="1"/>
    <col min="15886" max="16128" width="9" style="2"/>
    <col min="16129" max="16129" width="2" style="2" customWidth="1"/>
    <col min="16130" max="16130" width="13.875" style="2" customWidth="1"/>
    <col min="16131" max="16131" width="13.25" style="2" customWidth="1"/>
    <col min="16132" max="16132" width="15.375" style="2" customWidth="1"/>
    <col min="16133" max="16141" width="12.25" style="2" customWidth="1"/>
    <col min="16142" max="16384" width="9" style="2"/>
  </cols>
  <sheetData>
    <row r="2" spans="2:19" ht="18" customHeight="1" x14ac:dyDescent="0.3">
      <c r="B2" s="1" t="s">
        <v>0</v>
      </c>
      <c r="N2" s="1" t="s">
        <v>1</v>
      </c>
    </row>
    <row r="3" spans="2:19" ht="18" customHeight="1" thickBot="1" x14ac:dyDescent="0.35">
      <c r="B3" s="3" t="s">
        <v>2</v>
      </c>
      <c r="N3" s="3" t="s">
        <v>3</v>
      </c>
    </row>
    <row r="4" spans="2:19" ht="18" customHeight="1" thickBot="1" x14ac:dyDescent="0.35">
      <c r="B4" s="4" t="s">
        <v>4</v>
      </c>
      <c r="C4" s="5" t="s">
        <v>5</v>
      </c>
      <c r="D4" s="5" t="s">
        <v>6</v>
      </c>
      <c r="E4" s="6" t="s">
        <v>7</v>
      </c>
      <c r="F4" s="4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 t="s">
        <v>13</v>
      </c>
      <c r="L4" s="9"/>
      <c r="M4" s="10"/>
      <c r="N4" s="11" t="s">
        <v>14</v>
      </c>
      <c r="O4" s="12">
        <v>44166</v>
      </c>
      <c r="P4" s="12">
        <v>44174</v>
      </c>
      <c r="Q4" s="13"/>
      <c r="R4" s="11" t="s">
        <v>14</v>
      </c>
      <c r="S4" s="12">
        <v>44170</v>
      </c>
    </row>
    <row r="5" spans="2:19" ht="18" customHeight="1" x14ac:dyDescent="0.3">
      <c r="B5" s="14">
        <v>44508</v>
      </c>
      <c r="C5" s="15" t="s">
        <v>15</v>
      </c>
      <c r="D5" s="15" t="s">
        <v>16</v>
      </c>
      <c r="E5" s="16">
        <v>30</v>
      </c>
      <c r="F5" s="15" t="s">
        <v>17</v>
      </c>
      <c r="G5" s="17">
        <v>20000</v>
      </c>
      <c r="H5" s="18">
        <f>G5*E5</f>
        <v>600000</v>
      </c>
      <c r="I5" s="18">
        <f>H5*0.1</f>
        <v>60000</v>
      </c>
      <c r="J5" s="18">
        <v>0</v>
      </c>
      <c r="K5" s="19">
        <f>SUM(H5,I5)-J5</f>
        <v>660000</v>
      </c>
      <c r="L5" s="9"/>
      <c r="M5" s="10"/>
      <c r="N5" s="20" t="s">
        <v>18</v>
      </c>
      <c r="O5" s="21">
        <f>SUMIFS($O$9:$O$17,$N$9:$N$17,"&gt;="&amp;$O$4,$N$9:$N$17,"&lt;="&amp;$P$4)</f>
        <v>1200</v>
      </c>
      <c r="P5" s="13"/>
      <c r="Q5" s="13"/>
      <c r="R5" s="20" t="s">
        <v>18</v>
      </c>
      <c r="S5" s="21">
        <f>SUMIFS($O$9:$O$17,$N$9:$N$17,"&lt;="&amp;$S$4)</f>
        <v>700</v>
      </c>
    </row>
    <row r="6" spans="2:19" ht="18" customHeight="1" x14ac:dyDescent="0.3">
      <c r="B6" s="22">
        <v>44509</v>
      </c>
      <c r="C6" s="23" t="s">
        <v>19</v>
      </c>
      <c r="D6" s="23" t="s">
        <v>20</v>
      </c>
      <c r="E6" s="24">
        <v>20</v>
      </c>
      <c r="F6" s="23" t="s">
        <v>17</v>
      </c>
      <c r="G6" s="25">
        <v>25000</v>
      </c>
      <c r="H6" s="18">
        <f>G6*E6</f>
        <v>500000</v>
      </c>
      <c r="I6" s="18">
        <f>H6*0.1</f>
        <v>50000</v>
      </c>
      <c r="J6" s="26">
        <v>100000</v>
      </c>
      <c r="K6" s="19">
        <f>SUM(H6,I6)-J6</f>
        <v>450000</v>
      </c>
      <c r="L6" s="9"/>
      <c r="M6" s="10"/>
      <c r="N6" s="20" t="s">
        <v>21</v>
      </c>
      <c r="O6" s="21">
        <f>SUMIFS($P$9:$P$17,$N$9:$N$17,"&gt;="&amp;$O$4,$N$9:$N$17,"&lt;="&amp;$P$4)</f>
        <v>21750000</v>
      </c>
      <c r="P6" s="13"/>
      <c r="Q6" s="13"/>
      <c r="R6" s="20" t="s">
        <v>22</v>
      </c>
      <c r="S6" s="21">
        <f>SUMIFS($P$9:$P$17,$N$9:$N$17,"&lt;="&amp;$S$4)</f>
        <v>12000000</v>
      </c>
    </row>
    <row r="7" spans="2:19" ht="18" customHeight="1" thickBot="1" x14ac:dyDescent="0.35">
      <c r="B7" s="22">
        <v>44513</v>
      </c>
      <c r="C7" s="23" t="s">
        <v>23</v>
      </c>
      <c r="D7" s="23" t="s">
        <v>24</v>
      </c>
      <c r="E7" s="24">
        <v>40</v>
      </c>
      <c r="F7" s="23" t="s">
        <v>17</v>
      </c>
      <c r="G7" s="25">
        <v>8000</v>
      </c>
      <c r="H7" s="18">
        <f>G7*E7</f>
        <v>320000</v>
      </c>
      <c r="I7" s="18">
        <f>H7*0.1</f>
        <v>32000</v>
      </c>
      <c r="J7" s="26">
        <v>0</v>
      </c>
      <c r="K7" s="19">
        <f>SUM(H7,I7)-J7</f>
        <v>352000</v>
      </c>
      <c r="L7" s="9"/>
      <c r="M7" s="10"/>
      <c r="N7" s="13"/>
      <c r="O7" s="13"/>
      <c r="P7" s="13"/>
      <c r="Q7" s="13"/>
      <c r="R7" s="13"/>
      <c r="S7" s="13"/>
    </row>
    <row r="8" spans="2:19" ht="18" customHeight="1" thickBot="1" x14ac:dyDescent="0.35">
      <c r="B8" s="27"/>
      <c r="C8" s="27"/>
      <c r="D8" s="27"/>
      <c r="E8" s="27"/>
      <c r="F8" s="27"/>
      <c r="G8" s="27"/>
      <c r="H8" s="27"/>
      <c r="I8" s="27"/>
      <c r="J8" s="27"/>
      <c r="K8" s="28">
        <f>SUM(K5:K7)</f>
        <v>1462000</v>
      </c>
      <c r="L8" s="9"/>
      <c r="M8" s="10"/>
      <c r="N8" s="29" t="s">
        <v>25</v>
      </c>
      <c r="O8" s="30" t="s">
        <v>18</v>
      </c>
      <c r="P8" s="30" t="s">
        <v>21</v>
      </c>
      <c r="Q8" s="31"/>
      <c r="R8" s="13"/>
      <c r="S8" s="13"/>
    </row>
    <row r="9" spans="2:19" ht="18" customHeight="1" x14ac:dyDescent="0.3">
      <c r="B9" s="9"/>
      <c r="C9" s="32"/>
      <c r="D9" s="33"/>
      <c r="E9" s="34"/>
      <c r="F9" s="34"/>
      <c r="G9" s="35"/>
      <c r="H9" s="34"/>
      <c r="I9" s="36"/>
      <c r="J9" s="10"/>
      <c r="K9" s="10"/>
      <c r="L9" s="10"/>
      <c r="M9" s="10"/>
      <c r="N9" s="37">
        <v>44166</v>
      </c>
      <c r="O9" s="38">
        <v>250</v>
      </c>
      <c r="P9" s="38">
        <v>4250000</v>
      </c>
      <c r="Q9" s="39"/>
      <c r="R9" s="13"/>
      <c r="S9" s="13"/>
    </row>
    <row r="10" spans="2:19" ht="18" customHeight="1" x14ac:dyDescent="0.3">
      <c r="B10" s="1" t="s">
        <v>26</v>
      </c>
      <c r="N10" s="40">
        <v>44167</v>
      </c>
      <c r="O10" s="38">
        <v>150</v>
      </c>
      <c r="P10" s="38">
        <v>3000000</v>
      </c>
      <c r="Q10" s="39"/>
      <c r="R10" s="13"/>
      <c r="S10" s="13"/>
    </row>
    <row r="11" spans="2:19" ht="18" customHeight="1" thickBot="1" x14ac:dyDescent="0.35">
      <c r="B11" s="3" t="s">
        <v>27</v>
      </c>
      <c r="N11" s="40">
        <v>44168</v>
      </c>
      <c r="O11" s="38">
        <v>250</v>
      </c>
      <c r="P11" s="38">
        <v>4250000</v>
      </c>
      <c r="Q11" s="39"/>
      <c r="R11" s="13"/>
      <c r="S11" s="13"/>
    </row>
    <row r="12" spans="2:19" ht="18" customHeight="1" thickBot="1" x14ac:dyDescent="0.35">
      <c r="B12" s="41" t="s">
        <v>28</v>
      </c>
      <c r="C12" s="5" t="s">
        <v>5</v>
      </c>
      <c r="D12" s="5" t="s">
        <v>6</v>
      </c>
      <c r="E12" s="5" t="s">
        <v>29</v>
      </c>
      <c r="F12" s="5" t="s">
        <v>30</v>
      </c>
      <c r="G12" s="42" t="s">
        <v>31</v>
      </c>
      <c r="H12" s="34"/>
      <c r="I12" s="43"/>
      <c r="J12" s="43"/>
      <c r="K12" s="43"/>
      <c r="L12" s="43"/>
      <c r="M12" s="43"/>
      <c r="N12" s="40">
        <v>44169</v>
      </c>
      <c r="O12" s="38">
        <v>50</v>
      </c>
      <c r="P12" s="38">
        <v>500000</v>
      </c>
      <c r="Q12" s="39"/>
      <c r="R12" s="13"/>
      <c r="S12" s="13"/>
    </row>
    <row r="13" spans="2:19" ht="18" customHeight="1" x14ac:dyDescent="0.3">
      <c r="B13" s="44" t="s">
        <v>32</v>
      </c>
      <c r="C13" s="15" t="s">
        <v>33</v>
      </c>
      <c r="D13" s="15" t="s">
        <v>34</v>
      </c>
      <c r="E13" s="16">
        <v>50</v>
      </c>
      <c r="F13" s="17">
        <v>20000</v>
      </c>
      <c r="G13" s="45">
        <f>E13*F13</f>
        <v>1000000</v>
      </c>
      <c r="H13" s="34"/>
      <c r="I13" s="46" t="s">
        <v>35</v>
      </c>
      <c r="J13" s="47"/>
      <c r="K13" s="48">
        <f>SUMIF($B$13:$B$17,"대박마트",$G$13:$G$17)</f>
        <v>4290000</v>
      </c>
      <c r="L13" s="49">
        <f>SUMIF($B$13:$B$17,B13,$G$13:$G$17)</f>
        <v>4290000</v>
      </c>
      <c r="M13" s="10"/>
      <c r="N13" s="40">
        <v>44170</v>
      </c>
      <c r="O13" s="38">
        <v>0</v>
      </c>
      <c r="P13" s="38">
        <v>0</v>
      </c>
      <c r="Q13" s="39"/>
      <c r="R13" s="13"/>
      <c r="S13" s="13"/>
    </row>
    <row r="14" spans="2:19" ht="18" customHeight="1" x14ac:dyDescent="0.3">
      <c r="B14" s="50" t="s">
        <v>32</v>
      </c>
      <c r="C14" s="23" t="s">
        <v>36</v>
      </c>
      <c r="D14" s="23" t="s">
        <v>37</v>
      </c>
      <c r="E14" s="24">
        <v>50</v>
      </c>
      <c r="F14" s="25">
        <v>25000</v>
      </c>
      <c r="G14" s="45">
        <f>E14*F14</f>
        <v>1250000</v>
      </c>
      <c r="H14" s="34"/>
      <c r="I14" s="51" t="s">
        <v>38</v>
      </c>
      <c r="J14" s="52"/>
      <c r="K14" s="53">
        <f>SUMIF($B$13:$B$17,"천리마마트",$G$13:$G$17)</f>
        <v>240000</v>
      </c>
      <c r="L14" s="54"/>
      <c r="M14" s="10"/>
      <c r="N14" s="40">
        <v>44171</v>
      </c>
      <c r="O14" s="38">
        <v>0</v>
      </c>
      <c r="P14" s="38">
        <v>0</v>
      </c>
      <c r="Q14" s="39"/>
      <c r="R14" s="13"/>
      <c r="S14" s="13"/>
    </row>
    <row r="15" spans="2:19" ht="18" customHeight="1" x14ac:dyDescent="0.3">
      <c r="B15" s="50" t="s">
        <v>32</v>
      </c>
      <c r="C15" s="23" t="s">
        <v>39</v>
      </c>
      <c r="D15" s="23" t="s">
        <v>24</v>
      </c>
      <c r="E15" s="24">
        <v>30</v>
      </c>
      <c r="F15" s="25">
        <v>8000</v>
      </c>
      <c r="G15" s="45">
        <f>E15*F15</f>
        <v>240000</v>
      </c>
      <c r="H15" s="34"/>
      <c r="I15" s="51" t="s">
        <v>40</v>
      </c>
      <c r="J15" s="52"/>
      <c r="K15" s="53">
        <f>SUMIF($C$13:$C$17,"사과",$G$13:$G$17)</f>
        <v>1000000</v>
      </c>
      <c r="L15" s="54"/>
      <c r="M15" s="10"/>
      <c r="N15" s="40">
        <v>44172</v>
      </c>
      <c r="O15" s="38">
        <v>200</v>
      </c>
      <c r="P15" s="38">
        <v>4500000</v>
      </c>
      <c r="Q15" s="39"/>
      <c r="R15" s="13"/>
      <c r="S15" s="13"/>
    </row>
    <row r="16" spans="2:19" ht="18" customHeight="1" x14ac:dyDescent="0.3">
      <c r="B16" s="50" t="s">
        <v>32</v>
      </c>
      <c r="C16" s="23" t="s">
        <v>41</v>
      </c>
      <c r="D16" s="23" t="s">
        <v>42</v>
      </c>
      <c r="E16" s="24">
        <v>30</v>
      </c>
      <c r="F16" s="25">
        <v>60000</v>
      </c>
      <c r="G16" s="45">
        <f>E16*F16</f>
        <v>1800000</v>
      </c>
      <c r="H16" s="34"/>
      <c r="I16" s="51" t="s">
        <v>43</v>
      </c>
      <c r="J16" s="52"/>
      <c r="K16" s="53">
        <f>SUMIF($G$13:$G$17,"&gt;=1000000",$G$13:$G$17)</f>
        <v>4050000</v>
      </c>
      <c r="L16" s="55"/>
      <c r="M16" s="10"/>
      <c r="N16" s="40">
        <v>44173</v>
      </c>
      <c r="O16" s="38">
        <v>200</v>
      </c>
      <c r="P16" s="38">
        <v>2750000</v>
      </c>
      <c r="Q16" s="39"/>
      <c r="R16" s="13"/>
      <c r="S16" s="13"/>
    </row>
    <row r="17" spans="2:19" ht="18" customHeight="1" x14ac:dyDescent="0.3">
      <c r="B17" s="50" t="s">
        <v>44</v>
      </c>
      <c r="C17" s="23" t="s">
        <v>39</v>
      </c>
      <c r="D17" s="23" t="s">
        <v>24</v>
      </c>
      <c r="E17" s="24">
        <v>30</v>
      </c>
      <c r="F17" s="25">
        <v>8000</v>
      </c>
      <c r="G17" s="45">
        <f>E17*F17</f>
        <v>240000</v>
      </c>
      <c r="H17" s="34"/>
      <c r="I17" s="51" t="s">
        <v>45</v>
      </c>
      <c r="J17" s="52"/>
      <c r="K17" s="53">
        <f>SUMIF($G$13:$G$17,"&lt;1000000",$G$13:$G$17)</f>
        <v>480000</v>
      </c>
      <c r="L17" s="54"/>
      <c r="M17" s="10"/>
      <c r="N17" s="40">
        <v>44174</v>
      </c>
      <c r="O17" s="38">
        <v>100</v>
      </c>
      <c r="P17" s="38">
        <v>2500000</v>
      </c>
      <c r="Q17" s="39"/>
      <c r="R17" s="39"/>
      <c r="S17" s="39"/>
    </row>
    <row r="20" spans="2:19" ht="18" customHeight="1" x14ac:dyDescent="0.3">
      <c r="B20" s="1" t="s">
        <v>46</v>
      </c>
    </row>
    <row r="21" spans="2:19" ht="18" customHeight="1" thickBot="1" x14ac:dyDescent="0.35">
      <c r="B21" s="3" t="s">
        <v>47</v>
      </c>
    </row>
    <row r="22" spans="2:19" ht="18" customHeight="1" thickBot="1" x14ac:dyDescent="0.35">
      <c r="B22" s="41" t="s">
        <v>28</v>
      </c>
      <c r="C22" s="5" t="s">
        <v>5</v>
      </c>
      <c r="D22" s="5" t="s">
        <v>6</v>
      </c>
      <c r="E22" s="5" t="s">
        <v>29</v>
      </c>
      <c r="F22" s="5" t="s">
        <v>30</v>
      </c>
      <c r="G22" s="42" t="s">
        <v>31</v>
      </c>
      <c r="H22" s="34"/>
      <c r="I22" s="43"/>
      <c r="J22" s="43"/>
      <c r="K22" s="43"/>
      <c r="L22" s="43"/>
    </row>
    <row r="23" spans="2:19" ht="18" customHeight="1" x14ac:dyDescent="0.3">
      <c r="B23" s="44" t="s">
        <v>32</v>
      </c>
      <c r="C23" s="15" t="s">
        <v>33</v>
      </c>
      <c r="D23" s="15" t="s">
        <v>34</v>
      </c>
      <c r="E23" s="16">
        <v>50</v>
      </c>
      <c r="F23" s="17">
        <v>20000</v>
      </c>
      <c r="G23" s="45">
        <f>E23*F23</f>
        <v>1000000</v>
      </c>
      <c r="H23" s="34"/>
      <c r="I23" s="46" t="s">
        <v>35</v>
      </c>
      <c r="J23" s="47"/>
      <c r="K23" s="48">
        <f>SUMPRODUCT(($B$23:$B$27="대박마트")*($G$23:$G$27))</f>
        <v>4290000</v>
      </c>
      <c r="L23" s="48">
        <f>SUMPRODUCT(($B$23:$B$27=$B$23)*($G$23:$G$27))</f>
        <v>4290000</v>
      </c>
    </row>
    <row r="24" spans="2:19" ht="18" customHeight="1" x14ac:dyDescent="0.3">
      <c r="B24" s="50" t="s">
        <v>32</v>
      </c>
      <c r="C24" s="23" t="s">
        <v>36</v>
      </c>
      <c r="D24" s="23" t="s">
        <v>37</v>
      </c>
      <c r="E24" s="24">
        <v>50</v>
      </c>
      <c r="F24" s="25">
        <v>25000</v>
      </c>
      <c r="G24" s="45">
        <f>E24*F24</f>
        <v>1250000</v>
      </c>
      <c r="H24" s="34"/>
      <c r="I24" s="51" t="s">
        <v>48</v>
      </c>
      <c r="J24" s="52"/>
      <c r="K24" s="53">
        <f>SUMPRODUCT(($B$23:$B$27="대박마트")*($C$23:$C$27="사과")*($G$23:$G$27))</f>
        <v>1000000</v>
      </c>
      <c r="L24" s="54"/>
    </row>
    <row r="25" spans="2:19" ht="18" customHeight="1" x14ac:dyDescent="0.3">
      <c r="B25" s="50" t="s">
        <v>32</v>
      </c>
      <c r="C25" s="23" t="s">
        <v>39</v>
      </c>
      <c r="D25" s="23" t="s">
        <v>24</v>
      </c>
      <c r="E25" s="24">
        <v>30</v>
      </c>
      <c r="F25" s="25">
        <v>8000</v>
      </c>
      <c r="G25" s="45">
        <f>E25*F25</f>
        <v>240000</v>
      </c>
      <c r="H25" s="34"/>
      <c r="I25" s="56" t="s">
        <v>49</v>
      </c>
      <c r="J25" s="57"/>
      <c r="K25" s="53">
        <f>SUMPRODUCT(($B$23:$B$27="대박마트")*($C$23:$C$27="사과")*($D$23:$D$27="20kg")*($G$23:$G$27))</f>
        <v>1000000</v>
      </c>
      <c r="L25" s="54"/>
    </row>
    <row r="26" spans="2:19" ht="18" customHeight="1" x14ac:dyDescent="0.3">
      <c r="B26" s="50" t="s">
        <v>32</v>
      </c>
      <c r="C26" s="23" t="s">
        <v>41</v>
      </c>
      <c r="D26" s="23" t="s">
        <v>42</v>
      </c>
      <c r="E26" s="24">
        <v>30</v>
      </c>
      <c r="F26" s="25">
        <v>60000</v>
      </c>
      <c r="G26" s="45">
        <f>E26*F26</f>
        <v>1800000</v>
      </c>
      <c r="H26" s="34"/>
      <c r="I26" s="51" t="s">
        <v>43</v>
      </c>
      <c r="J26" s="52"/>
      <c r="K26" s="53">
        <f>SUMPRODUCT(($G$23:$G$27&gt;=1000000)*($G$23:$G$27))</f>
        <v>4050000</v>
      </c>
      <c r="L26" s="55"/>
    </row>
    <row r="27" spans="2:19" ht="18" customHeight="1" x14ac:dyDescent="0.3">
      <c r="B27" s="50" t="s">
        <v>44</v>
      </c>
      <c r="C27" s="23" t="s">
        <v>39</v>
      </c>
      <c r="D27" s="23" t="s">
        <v>24</v>
      </c>
      <c r="E27" s="24">
        <v>30</v>
      </c>
      <c r="F27" s="25">
        <v>8000</v>
      </c>
      <c r="G27" s="45">
        <f>E27*F27</f>
        <v>240000</v>
      </c>
      <c r="H27" s="34"/>
      <c r="I27" s="51" t="s">
        <v>45</v>
      </c>
      <c r="J27" s="52"/>
      <c r="K27" s="53">
        <f>SUMPRODUCT(($G$23:$G$27&lt;1000000)*($G$23:$G$27))</f>
        <v>480000</v>
      </c>
      <c r="L27" s="54"/>
    </row>
    <row r="45" spans="2:2" ht="18" customHeight="1" x14ac:dyDescent="0.3">
      <c r="B45" s="58"/>
    </row>
  </sheetData>
  <mergeCells count="11">
    <mergeCell ref="I23:J23"/>
    <mergeCell ref="I24:J24"/>
    <mergeCell ref="I25:J25"/>
    <mergeCell ref="I26:J26"/>
    <mergeCell ref="I27:J27"/>
    <mergeCell ref="B8:J8"/>
    <mergeCell ref="I13:J13"/>
    <mergeCell ref="I14:J14"/>
    <mergeCell ref="I15:J15"/>
    <mergeCell ref="I16:J16"/>
    <mergeCell ref="I17:J17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F93A-4261-4554-A529-C44E2B7F55B7}">
  <dimension ref="B2:T33"/>
  <sheetViews>
    <sheetView showGridLines="0" zoomScale="85" zoomScaleNormal="85" workbookViewId="0">
      <selection activeCell="B19" sqref="B19"/>
    </sheetView>
  </sheetViews>
  <sheetFormatPr defaultRowHeight="18" customHeight="1" x14ac:dyDescent="0.3"/>
  <cols>
    <col min="1" max="1" width="2" style="2" customWidth="1"/>
    <col min="2" max="2" width="13.875" style="2" customWidth="1"/>
    <col min="3" max="3" width="13.25" style="2" customWidth="1"/>
    <col min="4" max="4" width="15.375" style="2" customWidth="1"/>
    <col min="5" max="13" width="12.25" style="2" customWidth="1"/>
    <col min="14" max="256" width="9" style="2"/>
    <col min="257" max="257" width="2" style="2" customWidth="1"/>
    <col min="258" max="258" width="13.875" style="2" customWidth="1"/>
    <col min="259" max="259" width="13.25" style="2" customWidth="1"/>
    <col min="260" max="260" width="15.375" style="2" customWidth="1"/>
    <col min="261" max="269" width="12.25" style="2" customWidth="1"/>
    <col min="270" max="512" width="9" style="2"/>
    <col min="513" max="513" width="2" style="2" customWidth="1"/>
    <col min="514" max="514" width="13.875" style="2" customWidth="1"/>
    <col min="515" max="515" width="13.25" style="2" customWidth="1"/>
    <col min="516" max="516" width="15.375" style="2" customWidth="1"/>
    <col min="517" max="525" width="12.25" style="2" customWidth="1"/>
    <col min="526" max="768" width="9" style="2"/>
    <col min="769" max="769" width="2" style="2" customWidth="1"/>
    <col min="770" max="770" width="13.875" style="2" customWidth="1"/>
    <col min="771" max="771" width="13.25" style="2" customWidth="1"/>
    <col min="772" max="772" width="15.375" style="2" customWidth="1"/>
    <col min="773" max="781" width="12.25" style="2" customWidth="1"/>
    <col min="782" max="1024" width="9" style="2"/>
    <col min="1025" max="1025" width="2" style="2" customWidth="1"/>
    <col min="1026" max="1026" width="13.875" style="2" customWidth="1"/>
    <col min="1027" max="1027" width="13.25" style="2" customWidth="1"/>
    <col min="1028" max="1028" width="15.375" style="2" customWidth="1"/>
    <col min="1029" max="1037" width="12.25" style="2" customWidth="1"/>
    <col min="1038" max="1280" width="9" style="2"/>
    <col min="1281" max="1281" width="2" style="2" customWidth="1"/>
    <col min="1282" max="1282" width="13.875" style="2" customWidth="1"/>
    <col min="1283" max="1283" width="13.25" style="2" customWidth="1"/>
    <col min="1284" max="1284" width="15.375" style="2" customWidth="1"/>
    <col min="1285" max="1293" width="12.25" style="2" customWidth="1"/>
    <col min="1294" max="1536" width="9" style="2"/>
    <col min="1537" max="1537" width="2" style="2" customWidth="1"/>
    <col min="1538" max="1538" width="13.875" style="2" customWidth="1"/>
    <col min="1539" max="1539" width="13.25" style="2" customWidth="1"/>
    <col min="1540" max="1540" width="15.375" style="2" customWidth="1"/>
    <col min="1541" max="1549" width="12.25" style="2" customWidth="1"/>
    <col min="1550" max="1792" width="9" style="2"/>
    <col min="1793" max="1793" width="2" style="2" customWidth="1"/>
    <col min="1794" max="1794" width="13.875" style="2" customWidth="1"/>
    <col min="1795" max="1795" width="13.25" style="2" customWidth="1"/>
    <col min="1796" max="1796" width="15.375" style="2" customWidth="1"/>
    <col min="1797" max="1805" width="12.25" style="2" customWidth="1"/>
    <col min="1806" max="2048" width="9" style="2"/>
    <col min="2049" max="2049" width="2" style="2" customWidth="1"/>
    <col min="2050" max="2050" width="13.875" style="2" customWidth="1"/>
    <col min="2051" max="2051" width="13.25" style="2" customWidth="1"/>
    <col min="2052" max="2052" width="15.375" style="2" customWidth="1"/>
    <col min="2053" max="2061" width="12.25" style="2" customWidth="1"/>
    <col min="2062" max="2304" width="9" style="2"/>
    <col min="2305" max="2305" width="2" style="2" customWidth="1"/>
    <col min="2306" max="2306" width="13.875" style="2" customWidth="1"/>
    <col min="2307" max="2307" width="13.25" style="2" customWidth="1"/>
    <col min="2308" max="2308" width="15.375" style="2" customWidth="1"/>
    <col min="2309" max="2317" width="12.25" style="2" customWidth="1"/>
    <col min="2318" max="2560" width="9" style="2"/>
    <col min="2561" max="2561" width="2" style="2" customWidth="1"/>
    <col min="2562" max="2562" width="13.875" style="2" customWidth="1"/>
    <col min="2563" max="2563" width="13.25" style="2" customWidth="1"/>
    <col min="2564" max="2564" width="15.375" style="2" customWidth="1"/>
    <col min="2565" max="2573" width="12.25" style="2" customWidth="1"/>
    <col min="2574" max="2816" width="9" style="2"/>
    <col min="2817" max="2817" width="2" style="2" customWidth="1"/>
    <col min="2818" max="2818" width="13.875" style="2" customWidth="1"/>
    <col min="2819" max="2819" width="13.25" style="2" customWidth="1"/>
    <col min="2820" max="2820" width="15.375" style="2" customWidth="1"/>
    <col min="2821" max="2829" width="12.25" style="2" customWidth="1"/>
    <col min="2830" max="3072" width="9" style="2"/>
    <col min="3073" max="3073" width="2" style="2" customWidth="1"/>
    <col min="3074" max="3074" width="13.875" style="2" customWidth="1"/>
    <col min="3075" max="3075" width="13.25" style="2" customWidth="1"/>
    <col min="3076" max="3076" width="15.375" style="2" customWidth="1"/>
    <col min="3077" max="3085" width="12.25" style="2" customWidth="1"/>
    <col min="3086" max="3328" width="9" style="2"/>
    <col min="3329" max="3329" width="2" style="2" customWidth="1"/>
    <col min="3330" max="3330" width="13.875" style="2" customWidth="1"/>
    <col min="3331" max="3331" width="13.25" style="2" customWidth="1"/>
    <col min="3332" max="3332" width="15.375" style="2" customWidth="1"/>
    <col min="3333" max="3341" width="12.25" style="2" customWidth="1"/>
    <col min="3342" max="3584" width="9" style="2"/>
    <col min="3585" max="3585" width="2" style="2" customWidth="1"/>
    <col min="3586" max="3586" width="13.875" style="2" customWidth="1"/>
    <col min="3587" max="3587" width="13.25" style="2" customWidth="1"/>
    <col min="3588" max="3588" width="15.375" style="2" customWidth="1"/>
    <col min="3589" max="3597" width="12.25" style="2" customWidth="1"/>
    <col min="3598" max="3840" width="9" style="2"/>
    <col min="3841" max="3841" width="2" style="2" customWidth="1"/>
    <col min="3842" max="3842" width="13.875" style="2" customWidth="1"/>
    <col min="3843" max="3843" width="13.25" style="2" customWidth="1"/>
    <col min="3844" max="3844" width="15.375" style="2" customWidth="1"/>
    <col min="3845" max="3853" width="12.25" style="2" customWidth="1"/>
    <col min="3854" max="4096" width="9" style="2"/>
    <col min="4097" max="4097" width="2" style="2" customWidth="1"/>
    <col min="4098" max="4098" width="13.875" style="2" customWidth="1"/>
    <col min="4099" max="4099" width="13.25" style="2" customWidth="1"/>
    <col min="4100" max="4100" width="15.375" style="2" customWidth="1"/>
    <col min="4101" max="4109" width="12.25" style="2" customWidth="1"/>
    <col min="4110" max="4352" width="9" style="2"/>
    <col min="4353" max="4353" width="2" style="2" customWidth="1"/>
    <col min="4354" max="4354" width="13.875" style="2" customWidth="1"/>
    <col min="4355" max="4355" width="13.25" style="2" customWidth="1"/>
    <col min="4356" max="4356" width="15.375" style="2" customWidth="1"/>
    <col min="4357" max="4365" width="12.25" style="2" customWidth="1"/>
    <col min="4366" max="4608" width="9" style="2"/>
    <col min="4609" max="4609" width="2" style="2" customWidth="1"/>
    <col min="4610" max="4610" width="13.875" style="2" customWidth="1"/>
    <col min="4611" max="4611" width="13.25" style="2" customWidth="1"/>
    <col min="4612" max="4612" width="15.375" style="2" customWidth="1"/>
    <col min="4613" max="4621" width="12.25" style="2" customWidth="1"/>
    <col min="4622" max="4864" width="9" style="2"/>
    <col min="4865" max="4865" width="2" style="2" customWidth="1"/>
    <col min="4866" max="4866" width="13.875" style="2" customWidth="1"/>
    <col min="4867" max="4867" width="13.25" style="2" customWidth="1"/>
    <col min="4868" max="4868" width="15.375" style="2" customWidth="1"/>
    <col min="4869" max="4877" width="12.25" style="2" customWidth="1"/>
    <col min="4878" max="5120" width="9" style="2"/>
    <col min="5121" max="5121" width="2" style="2" customWidth="1"/>
    <col min="5122" max="5122" width="13.875" style="2" customWidth="1"/>
    <col min="5123" max="5123" width="13.25" style="2" customWidth="1"/>
    <col min="5124" max="5124" width="15.375" style="2" customWidth="1"/>
    <col min="5125" max="5133" width="12.25" style="2" customWidth="1"/>
    <col min="5134" max="5376" width="9" style="2"/>
    <col min="5377" max="5377" width="2" style="2" customWidth="1"/>
    <col min="5378" max="5378" width="13.875" style="2" customWidth="1"/>
    <col min="5379" max="5379" width="13.25" style="2" customWidth="1"/>
    <col min="5380" max="5380" width="15.375" style="2" customWidth="1"/>
    <col min="5381" max="5389" width="12.25" style="2" customWidth="1"/>
    <col min="5390" max="5632" width="9" style="2"/>
    <col min="5633" max="5633" width="2" style="2" customWidth="1"/>
    <col min="5634" max="5634" width="13.875" style="2" customWidth="1"/>
    <col min="5635" max="5635" width="13.25" style="2" customWidth="1"/>
    <col min="5636" max="5636" width="15.375" style="2" customWidth="1"/>
    <col min="5637" max="5645" width="12.25" style="2" customWidth="1"/>
    <col min="5646" max="5888" width="9" style="2"/>
    <col min="5889" max="5889" width="2" style="2" customWidth="1"/>
    <col min="5890" max="5890" width="13.875" style="2" customWidth="1"/>
    <col min="5891" max="5891" width="13.25" style="2" customWidth="1"/>
    <col min="5892" max="5892" width="15.375" style="2" customWidth="1"/>
    <col min="5893" max="5901" width="12.25" style="2" customWidth="1"/>
    <col min="5902" max="6144" width="9" style="2"/>
    <col min="6145" max="6145" width="2" style="2" customWidth="1"/>
    <col min="6146" max="6146" width="13.875" style="2" customWidth="1"/>
    <col min="6147" max="6147" width="13.25" style="2" customWidth="1"/>
    <col min="6148" max="6148" width="15.375" style="2" customWidth="1"/>
    <col min="6149" max="6157" width="12.25" style="2" customWidth="1"/>
    <col min="6158" max="6400" width="9" style="2"/>
    <col min="6401" max="6401" width="2" style="2" customWidth="1"/>
    <col min="6402" max="6402" width="13.875" style="2" customWidth="1"/>
    <col min="6403" max="6403" width="13.25" style="2" customWidth="1"/>
    <col min="6404" max="6404" width="15.375" style="2" customWidth="1"/>
    <col min="6405" max="6413" width="12.25" style="2" customWidth="1"/>
    <col min="6414" max="6656" width="9" style="2"/>
    <col min="6657" max="6657" width="2" style="2" customWidth="1"/>
    <col min="6658" max="6658" width="13.875" style="2" customWidth="1"/>
    <col min="6659" max="6659" width="13.25" style="2" customWidth="1"/>
    <col min="6660" max="6660" width="15.375" style="2" customWidth="1"/>
    <col min="6661" max="6669" width="12.25" style="2" customWidth="1"/>
    <col min="6670" max="6912" width="9" style="2"/>
    <col min="6913" max="6913" width="2" style="2" customWidth="1"/>
    <col min="6914" max="6914" width="13.875" style="2" customWidth="1"/>
    <col min="6915" max="6915" width="13.25" style="2" customWidth="1"/>
    <col min="6916" max="6916" width="15.375" style="2" customWidth="1"/>
    <col min="6917" max="6925" width="12.25" style="2" customWidth="1"/>
    <col min="6926" max="7168" width="9" style="2"/>
    <col min="7169" max="7169" width="2" style="2" customWidth="1"/>
    <col min="7170" max="7170" width="13.875" style="2" customWidth="1"/>
    <col min="7171" max="7171" width="13.25" style="2" customWidth="1"/>
    <col min="7172" max="7172" width="15.375" style="2" customWidth="1"/>
    <col min="7173" max="7181" width="12.25" style="2" customWidth="1"/>
    <col min="7182" max="7424" width="9" style="2"/>
    <col min="7425" max="7425" width="2" style="2" customWidth="1"/>
    <col min="7426" max="7426" width="13.875" style="2" customWidth="1"/>
    <col min="7427" max="7427" width="13.25" style="2" customWidth="1"/>
    <col min="7428" max="7428" width="15.375" style="2" customWidth="1"/>
    <col min="7429" max="7437" width="12.25" style="2" customWidth="1"/>
    <col min="7438" max="7680" width="9" style="2"/>
    <col min="7681" max="7681" width="2" style="2" customWidth="1"/>
    <col min="7682" max="7682" width="13.875" style="2" customWidth="1"/>
    <col min="7683" max="7683" width="13.25" style="2" customWidth="1"/>
    <col min="7684" max="7684" width="15.375" style="2" customWidth="1"/>
    <col min="7685" max="7693" width="12.25" style="2" customWidth="1"/>
    <col min="7694" max="7936" width="9" style="2"/>
    <col min="7937" max="7937" width="2" style="2" customWidth="1"/>
    <col min="7938" max="7938" width="13.875" style="2" customWidth="1"/>
    <col min="7939" max="7939" width="13.25" style="2" customWidth="1"/>
    <col min="7940" max="7940" width="15.375" style="2" customWidth="1"/>
    <col min="7941" max="7949" width="12.25" style="2" customWidth="1"/>
    <col min="7950" max="8192" width="9" style="2"/>
    <col min="8193" max="8193" width="2" style="2" customWidth="1"/>
    <col min="8194" max="8194" width="13.875" style="2" customWidth="1"/>
    <col min="8195" max="8195" width="13.25" style="2" customWidth="1"/>
    <col min="8196" max="8196" width="15.375" style="2" customWidth="1"/>
    <col min="8197" max="8205" width="12.25" style="2" customWidth="1"/>
    <col min="8206" max="8448" width="9" style="2"/>
    <col min="8449" max="8449" width="2" style="2" customWidth="1"/>
    <col min="8450" max="8450" width="13.875" style="2" customWidth="1"/>
    <col min="8451" max="8451" width="13.25" style="2" customWidth="1"/>
    <col min="8452" max="8452" width="15.375" style="2" customWidth="1"/>
    <col min="8453" max="8461" width="12.25" style="2" customWidth="1"/>
    <col min="8462" max="8704" width="9" style="2"/>
    <col min="8705" max="8705" width="2" style="2" customWidth="1"/>
    <col min="8706" max="8706" width="13.875" style="2" customWidth="1"/>
    <col min="8707" max="8707" width="13.25" style="2" customWidth="1"/>
    <col min="8708" max="8708" width="15.375" style="2" customWidth="1"/>
    <col min="8709" max="8717" width="12.25" style="2" customWidth="1"/>
    <col min="8718" max="8960" width="9" style="2"/>
    <col min="8961" max="8961" width="2" style="2" customWidth="1"/>
    <col min="8962" max="8962" width="13.875" style="2" customWidth="1"/>
    <col min="8963" max="8963" width="13.25" style="2" customWidth="1"/>
    <col min="8964" max="8964" width="15.375" style="2" customWidth="1"/>
    <col min="8965" max="8973" width="12.25" style="2" customWidth="1"/>
    <col min="8974" max="9216" width="9" style="2"/>
    <col min="9217" max="9217" width="2" style="2" customWidth="1"/>
    <col min="9218" max="9218" width="13.875" style="2" customWidth="1"/>
    <col min="9219" max="9219" width="13.25" style="2" customWidth="1"/>
    <col min="9220" max="9220" width="15.375" style="2" customWidth="1"/>
    <col min="9221" max="9229" width="12.25" style="2" customWidth="1"/>
    <col min="9230" max="9472" width="9" style="2"/>
    <col min="9473" max="9473" width="2" style="2" customWidth="1"/>
    <col min="9474" max="9474" width="13.875" style="2" customWidth="1"/>
    <col min="9475" max="9475" width="13.25" style="2" customWidth="1"/>
    <col min="9476" max="9476" width="15.375" style="2" customWidth="1"/>
    <col min="9477" max="9485" width="12.25" style="2" customWidth="1"/>
    <col min="9486" max="9728" width="9" style="2"/>
    <col min="9729" max="9729" width="2" style="2" customWidth="1"/>
    <col min="9730" max="9730" width="13.875" style="2" customWidth="1"/>
    <col min="9731" max="9731" width="13.25" style="2" customWidth="1"/>
    <col min="9732" max="9732" width="15.375" style="2" customWidth="1"/>
    <col min="9733" max="9741" width="12.25" style="2" customWidth="1"/>
    <col min="9742" max="9984" width="9" style="2"/>
    <col min="9985" max="9985" width="2" style="2" customWidth="1"/>
    <col min="9986" max="9986" width="13.875" style="2" customWidth="1"/>
    <col min="9987" max="9987" width="13.25" style="2" customWidth="1"/>
    <col min="9988" max="9988" width="15.375" style="2" customWidth="1"/>
    <col min="9989" max="9997" width="12.25" style="2" customWidth="1"/>
    <col min="9998" max="10240" width="9" style="2"/>
    <col min="10241" max="10241" width="2" style="2" customWidth="1"/>
    <col min="10242" max="10242" width="13.875" style="2" customWidth="1"/>
    <col min="10243" max="10243" width="13.25" style="2" customWidth="1"/>
    <col min="10244" max="10244" width="15.375" style="2" customWidth="1"/>
    <col min="10245" max="10253" width="12.25" style="2" customWidth="1"/>
    <col min="10254" max="10496" width="9" style="2"/>
    <col min="10497" max="10497" width="2" style="2" customWidth="1"/>
    <col min="10498" max="10498" width="13.875" style="2" customWidth="1"/>
    <col min="10499" max="10499" width="13.25" style="2" customWidth="1"/>
    <col min="10500" max="10500" width="15.375" style="2" customWidth="1"/>
    <col min="10501" max="10509" width="12.25" style="2" customWidth="1"/>
    <col min="10510" max="10752" width="9" style="2"/>
    <col min="10753" max="10753" width="2" style="2" customWidth="1"/>
    <col min="10754" max="10754" width="13.875" style="2" customWidth="1"/>
    <col min="10755" max="10755" width="13.25" style="2" customWidth="1"/>
    <col min="10756" max="10756" width="15.375" style="2" customWidth="1"/>
    <col min="10757" max="10765" width="12.25" style="2" customWidth="1"/>
    <col min="10766" max="11008" width="9" style="2"/>
    <col min="11009" max="11009" width="2" style="2" customWidth="1"/>
    <col min="11010" max="11010" width="13.875" style="2" customWidth="1"/>
    <col min="11011" max="11011" width="13.25" style="2" customWidth="1"/>
    <col min="11012" max="11012" width="15.375" style="2" customWidth="1"/>
    <col min="11013" max="11021" width="12.25" style="2" customWidth="1"/>
    <col min="11022" max="11264" width="9" style="2"/>
    <col min="11265" max="11265" width="2" style="2" customWidth="1"/>
    <col min="11266" max="11266" width="13.875" style="2" customWidth="1"/>
    <col min="11267" max="11267" width="13.25" style="2" customWidth="1"/>
    <col min="11268" max="11268" width="15.375" style="2" customWidth="1"/>
    <col min="11269" max="11277" width="12.25" style="2" customWidth="1"/>
    <col min="11278" max="11520" width="9" style="2"/>
    <col min="11521" max="11521" width="2" style="2" customWidth="1"/>
    <col min="11522" max="11522" width="13.875" style="2" customWidth="1"/>
    <col min="11523" max="11523" width="13.25" style="2" customWidth="1"/>
    <col min="11524" max="11524" width="15.375" style="2" customWidth="1"/>
    <col min="11525" max="11533" width="12.25" style="2" customWidth="1"/>
    <col min="11534" max="11776" width="9" style="2"/>
    <col min="11777" max="11777" width="2" style="2" customWidth="1"/>
    <col min="11778" max="11778" width="13.875" style="2" customWidth="1"/>
    <col min="11779" max="11779" width="13.25" style="2" customWidth="1"/>
    <col min="11780" max="11780" width="15.375" style="2" customWidth="1"/>
    <col min="11781" max="11789" width="12.25" style="2" customWidth="1"/>
    <col min="11790" max="12032" width="9" style="2"/>
    <col min="12033" max="12033" width="2" style="2" customWidth="1"/>
    <col min="12034" max="12034" width="13.875" style="2" customWidth="1"/>
    <col min="12035" max="12035" width="13.25" style="2" customWidth="1"/>
    <col min="12036" max="12036" width="15.375" style="2" customWidth="1"/>
    <col min="12037" max="12045" width="12.25" style="2" customWidth="1"/>
    <col min="12046" max="12288" width="9" style="2"/>
    <col min="12289" max="12289" width="2" style="2" customWidth="1"/>
    <col min="12290" max="12290" width="13.875" style="2" customWidth="1"/>
    <col min="12291" max="12291" width="13.25" style="2" customWidth="1"/>
    <col min="12292" max="12292" width="15.375" style="2" customWidth="1"/>
    <col min="12293" max="12301" width="12.25" style="2" customWidth="1"/>
    <col min="12302" max="12544" width="9" style="2"/>
    <col min="12545" max="12545" width="2" style="2" customWidth="1"/>
    <col min="12546" max="12546" width="13.875" style="2" customWidth="1"/>
    <col min="12547" max="12547" width="13.25" style="2" customWidth="1"/>
    <col min="12548" max="12548" width="15.375" style="2" customWidth="1"/>
    <col min="12549" max="12557" width="12.25" style="2" customWidth="1"/>
    <col min="12558" max="12800" width="9" style="2"/>
    <col min="12801" max="12801" width="2" style="2" customWidth="1"/>
    <col min="12802" max="12802" width="13.875" style="2" customWidth="1"/>
    <col min="12803" max="12803" width="13.25" style="2" customWidth="1"/>
    <col min="12804" max="12804" width="15.375" style="2" customWidth="1"/>
    <col min="12805" max="12813" width="12.25" style="2" customWidth="1"/>
    <col min="12814" max="13056" width="9" style="2"/>
    <col min="13057" max="13057" width="2" style="2" customWidth="1"/>
    <col min="13058" max="13058" width="13.875" style="2" customWidth="1"/>
    <col min="13059" max="13059" width="13.25" style="2" customWidth="1"/>
    <col min="13060" max="13060" width="15.375" style="2" customWidth="1"/>
    <col min="13061" max="13069" width="12.25" style="2" customWidth="1"/>
    <col min="13070" max="13312" width="9" style="2"/>
    <col min="13313" max="13313" width="2" style="2" customWidth="1"/>
    <col min="13314" max="13314" width="13.875" style="2" customWidth="1"/>
    <col min="13315" max="13315" width="13.25" style="2" customWidth="1"/>
    <col min="13316" max="13316" width="15.375" style="2" customWidth="1"/>
    <col min="13317" max="13325" width="12.25" style="2" customWidth="1"/>
    <col min="13326" max="13568" width="9" style="2"/>
    <col min="13569" max="13569" width="2" style="2" customWidth="1"/>
    <col min="13570" max="13570" width="13.875" style="2" customWidth="1"/>
    <col min="13571" max="13571" width="13.25" style="2" customWidth="1"/>
    <col min="13572" max="13572" width="15.375" style="2" customWidth="1"/>
    <col min="13573" max="13581" width="12.25" style="2" customWidth="1"/>
    <col min="13582" max="13824" width="9" style="2"/>
    <col min="13825" max="13825" width="2" style="2" customWidth="1"/>
    <col min="13826" max="13826" width="13.875" style="2" customWidth="1"/>
    <col min="13827" max="13827" width="13.25" style="2" customWidth="1"/>
    <col min="13828" max="13828" width="15.375" style="2" customWidth="1"/>
    <col min="13829" max="13837" width="12.25" style="2" customWidth="1"/>
    <col min="13838" max="14080" width="9" style="2"/>
    <col min="14081" max="14081" width="2" style="2" customWidth="1"/>
    <col min="14082" max="14082" width="13.875" style="2" customWidth="1"/>
    <col min="14083" max="14083" width="13.25" style="2" customWidth="1"/>
    <col min="14084" max="14084" width="15.375" style="2" customWidth="1"/>
    <col min="14085" max="14093" width="12.25" style="2" customWidth="1"/>
    <col min="14094" max="14336" width="9" style="2"/>
    <col min="14337" max="14337" width="2" style="2" customWidth="1"/>
    <col min="14338" max="14338" width="13.875" style="2" customWidth="1"/>
    <col min="14339" max="14339" width="13.25" style="2" customWidth="1"/>
    <col min="14340" max="14340" width="15.375" style="2" customWidth="1"/>
    <col min="14341" max="14349" width="12.25" style="2" customWidth="1"/>
    <col min="14350" max="14592" width="9" style="2"/>
    <col min="14593" max="14593" width="2" style="2" customWidth="1"/>
    <col min="14594" max="14594" width="13.875" style="2" customWidth="1"/>
    <col min="14595" max="14595" width="13.25" style="2" customWidth="1"/>
    <col min="14596" max="14596" width="15.375" style="2" customWidth="1"/>
    <col min="14597" max="14605" width="12.25" style="2" customWidth="1"/>
    <col min="14606" max="14848" width="9" style="2"/>
    <col min="14849" max="14849" width="2" style="2" customWidth="1"/>
    <col min="14850" max="14850" width="13.875" style="2" customWidth="1"/>
    <col min="14851" max="14851" width="13.25" style="2" customWidth="1"/>
    <col min="14852" max="14852" width="15.375" style="2" customWidth="1"/>
    <col min="14853" max="14861" width="12.25" style="2" customWidth="1"/>
    <col min="14862" max="15104" width="9" style="2"/>
    <col min="15105" max="15105" width="2" style="2" customWidth="1"/>
    <col min="15106" max="15106" width="13.875" style="2" customWidth="1"/>
    <col min="15107" max="15107" width="13.25" style="2" customWidth="1"/>
    <col min="15108" max="15108" width="15.375" style="2" customWidth="1"/>
    <col min="15109" max="15117" width="12.25" style="2" customWidth="1"/>
    <col min="15118" max="15360" width="9" style="2"/>
    <col min="15361" max="15361" width="2" style="2" customWidth="1"/>
    <col min="15362" max="15362" width="13.875" style="2" customWidth="1"/>
    <col min="15363" max="15363" width="13.25" style="2" customWidth="1"/>
    <col min="15364" max="15364" width="15.375" style="2" customWidth="1"/>
    <col min="15365" max="15373" width="12.25" style="2" customWidth="1"/>
    <col min="15374" max="15616" width="9" style="2"/>
    <col min="15617" max="15617" width="2" style="2" customWidth="1"/>
    <col min="15618" max="15618" width="13.875" style="2" customWidth="1"/>
    <col min="15619" max="15619" width="13.25" style="2" customWidth="1"/>
    <col min="15620" max="15620" width="15.375" style="2" customWidth="1"/>
    <col min="15621" max="15629" width="12.25" style="2" customWidth="1"/>
    <col min="15630" max="15872" width="9" style="2"/>
    <col min="15873" max="15873" width="2" style="2" customWidth="1"/>
    <col min="15874" max="15874" width="13.875" style="2" customWidth="1"/>
    <col min="15875" max="15875" width="13.25" style="2" customWidth="1"/>
    <col min="15876" max="15876" width="15.375" style="2" customWidth="1"/>
    <col min="15877" max="15885" width="12.25" style="2" customWidth="1"/>
    <col min="15886" max="16128" width="9" style="2"/>
    <col min="16129" max="16129" width="2" style="2" customWidth="1"/>
    <col min="16130" max="16130" width="13.875" style="2" customWidth="1"/>
    <col min="16131" max="16131" width="13.25" style="2" customWidth="1"/>
    <col min="16132" max="16132" width="15.375" style="2" customWidth="1"/>
    <col min="16133" max="16141" width="12.25" style="2" customWidth="1"/>
    <col min="16142" max="16384" width="9" style="2"/>
  </cols>
  <sheetData>
    <row r="2" spans="2:17" ht="18" customHeight="1" thickBot="1" x14ac:dyDescent="0.35">
      <c r="B2" s="59" t="s">
        <v>50</v>
      </c>
      <c r="C2" s="13"/>
      <c r="D2" s="13"/>
      <c r="M2" s="1" t="s">
        <v>51</v>
      </c>
    </row>
    <row r="3" spans="2:17" ht="18" customHeight="1" thickBot="1" x14ac:dyDescent="0.35">
      <c r="B3" s="29" t="s">
        <v>52</v>
      </c>
      <c r="C3" s="30" t="s">
        <v>53</v>
      </c>
      <c r="D3" s="60" t="s">
        <v>54</v>
      </c>
      <c r="M3" s="4" t="s">
        <v>56</v>
      </c>
      <c r="N3" s="5" t="s">
        <v>57</v>
      </c>
      <c r="O3" s="5" t="s">
        <v>58</v>
      </c>
      <c r="P3" s="61" t="s">
        <v>59</v>
      </c>
      <c r="Q3" s="62"/>
    </row>
    <row r="4" spans="2:17" ht="18" customHeight="1" x14ac:dyDescent="0.3">
      <c r="B4" s="63">
        <v>43831</v>
      </c>
      <c r="C4" s="64">
        <v>2484.2559999999999</v>
      </c>
      <c r="D4" s="65">
        <f>C4*12500</f>
        <v>31053200</v>
      </c>
      <c r="M4" s="66" t="s">
        <v>61</v>
      </c>
      <c r="N4" s="15" t="s">
        <v>62</v>
      </c>
      <c r="O4" s="67" t="str">
        <f>IF(MID(N4,8,1)="1","남자","여자")</f>
        <v>남자</v>
      </c>
      <c r="P4" s="68" t="str">
        <f>IF(O4="남자","입대","면제")</f>
        <v>입대</v>
      </c>
      <c r="Q4" s="43"/>
    </row>
    <row r="5" spans="2:17" ht="18" customHeight="1" x14ac:dyDescent="0.3">
      <c r="B5" s="69">
        <v>43862</v>
      </c>
      <c r="C5" s="38">
        <v>1706.5669999999998</v>
      </c>
      <c r="D5" s="65">
        <f>C5*13000</f>
        <v>22185370.999999996</v>
      </c>
      <c r="M5" s="70" t="s">
        <v>64</v>
      </c>
      <c r="N5" s="23" t="s">
        <v>65</v>
      </c>
      <c r="O5" s="67" t="str">
        <f>IF(MID(N5,8,1)="1","남자","여자")</f>
        <v>남자</v>
      </c>
      <c r="P5" s="68" t="str">
        <f>IF(O5="남자","입대","면제")</f>
        <v>입대</v>
      </c>
      <c r="Q5" s="43"/>
    </row>
    <row r="6" spans="2:17" ht="18" customHeight="1" x14ac:dyDescent="0.3">
      <c r="B6" s="71">
        <v>43891</v>
      </c>
      <c r="C6" s="38">
        <v>1635.3609999999996</v>
      </c>
      <c r="D6" s="65">
        <f>C6*12800</f>
        <v>20932620.799999997</v>
      </c>
      <c r="M6" s="70" t="s">
        <v>66</v>
      </c>
      <c r="N6" s="23" t="s">
        <v>67</v>
      </c>
      <c r="O6" s="67" t="str">
        <f>IF(MID(N6,8,1)="1","남자","여자")</f>
        <v>여자</v>
      </c>
      <c r="P6" s="68" t="str">
        <f>IF(O6="남자","입대","면제")</f>
        <v>면제</v>
      </c>
      <c r="Q6" s="43"/>
    </row>
    <row r="7" spans="2:17" ht="18" customHeight="1" x14ac:dyDescent="0.3">
      <c r="B7" s="71">
        <v>43922</v>
      </c>
      <c r="C7" s="72">
        <v>1557.9910000000002</v>
      </c>
      <c r="D7" s="73">
        <f>C7*12300</f>
        <v>19163289.300000004</v>
      </c>
      <c r="M7" s="2" t="s">
        <v>68</v>
      </c>
    </row>
    <row r="8" spans="2:17" ht="18" customHeight="1" x14ac:dyDescent="0.3">
      <c r="B8" s="71">
        <v>43952</v>
      </c>
      <c r="C8" s="72">
        <v>1698.9130000000002</v>
      </c>
      <c r="D8" s="73">
        <f>C8*13500</f>
        <v>22935325.500000004</v>
      </c>
    </row>
    <row r="9" spans="2:17" ht="18" customHeight="1" thickBot="1" x14ac:dyDescent="0.35">
      <c r="B9" s="71">
        <v>43983</v>
      </c>
      <c r="C9" s="72">
        <v>1858.838</v>
      </c>
      <c r="D9" s="73">
        <f>C9*12700</f>
        <v>23607242.599999998</v>
      </c>
      <c r="M9" s="1" t="s">
        <v>69</v>
      </c>
    </row>
    <row r="10" spans="2:17" ht="18" customHeight="1" thickBot="1" x14ac:dyDescent="0.35">
      <c r="B10" s="71">
        <v>44013</v>
      </c>
      <c r="C10" s="72">
        <v>2080.125</v>
      </c>
      <c r="D10" s="73">
        <f>C10*12000</f>
        <v>24961500</v>
      </c>
      <c r="M10" s="74" t="s">
        <v>70</v>
      </c>
      <c r="N10" s="75"/>
      <c r="O10" s="5" t="s">
        <v>71</v>
      </c>
      <c r="P10" s="5" t="s">
        <v>72</v>
      </c>
      <c r="Q10" s="61" t="s">
        <v>73</v>
      </c>
    </row>
    <row r="11" spans="2:17" ht="18" customHeight="1" x14ac:dyDescent="0.3">
      <c r="B11" s="71">
        <v>44044</v>
      </c>
      <c r="C11" s="72">
        <v>2046.9379999999999</v>
      </c>
      <c r="D11" s="73">
        <f>C11*13500</f>
        <v>27633663</v>
      </c>
      <c r="M11" s="76" t="s">
        <v>74</v>
      </c>
      <c r="N11" s="77"/>
      <c r="O11" s="78">
        <v>0</v>
      </c>
      <c r="P11" s="78">
        <v>8500000</v>
      </c>
      <c r="Q11" s="67">
        <f>IF(P11&lt;10000000,0,IF(AND(P11&gt;10000000,P11&lt;=30000000),20000,IF(AND(P11&gt;50000000,P11&lt;=100000000),40000)))</f>
        <v>0</v>
      </c>
    </row>
    <row r="12" spans="2:17" ht="18" customHeight="1" x14ac:dyDescent="0.3">
      <c r="B12" s="71">
        <v>44075</v>
      </c>
      <c r="C12" s="72">
        <v>2243.9189999999999</v>
      </c>
      <c r="D12" s="73">
        <f>C12*11500</f>
        <v>25805068.5</v>
      </c>
      <c r="M12" s="79" t="s">
        <v>75</v>
      </c>
      <c r="N12" s="80"/>
      <c r="O12" s="78">
        <v>20000</v>
      </c>
      <c r="P12" s="81">
        <v>23200000</v>
      </c>
      <c r="Q12" s="67">
        <f>IF(P12&lt;10000000,0,IF(AND(P12&gt;10000000,P12&lt;=30000000),20000,IF(AND(P12&gt;50000000,P12&lt;=100000000),40000)))</f>
        <v>20000</v>
      </c>
    </row>
    <row r="13" spans="2:17" ht="18" customHeight="1" x14ac:dyDescent="0.3">
      <c r="B13" s="71">
        <v>44105</v>
      </c>
      <c r="C13" s="72">
        <v>2448.2249999999995</v>
      </c>
      <c r="D13" s="73">
        <f>C13*11300</f>
        <v>27664942.499999993</v>
      </c>
      <c r="M13" s="79" t="s">
        <v>76</v>
      </c>
      <c r="N13" s="80"/>
      <c r="O13" s="78">
        <v>40000</v>
      </c>
      <c r="P13" s="81">
        <v>75836000</v>
      </c>
      <c r="Q13" s="67">
        <f>IF(P13&lt;10000000,0,IF(AND(P13&gt;10000000,P13&lt;=30000000),20000,IF(AND(P13&gt;50000000,P13&lt;=100000000),40000)))</f>
        <v>40000</v>
      </c>
    </row>
    <row r="14" spans="2:17" ht="18" customHeight="1" x14ac:dyDescent="0.3">
      <c r="B14" s="71">
        <v>44136</v>
      </c>
      <c r="C14" s="72">
        <v>2519.5630000000001</v>
      </c>
      <c r="D14" s="73">
        <f>C14*11500</f>
        <v>28974974.5</v>
      </c>
    </row>
    <row r="15" spans="2:17" ht="18" customHeight="1" thickBot="1" x14ac:dyDescent="0.35">
      <c r="B15" s="71">
        <v>44166</v>
      </c>
      <c r="C15" s="82">
        <f>FORECAST(B15,C4:C14,B4:B14)</f>
        <v>2371.7737722617167</v>
      </c>
      <c r="D15" s="83">
        <f>FORECAST(B15,D4:D14,B4:B14)</f>
        <v>27463467.475972772</v>
      </c>
      <c r="M15" s="1" t="s">
        <v>77</v>
      </c>
    </row>
    <row r="16" spans="2:17" ht="18" customHeight="1" thickBot="1" x14ac:dyDescent="0.35">
      <c r="M16" s="4" t="s">
        <v>78</v>
      </c>
      <c r="N16" s="5" t="s">
        <v>57</v>
      </c>
      <c r="O16" s="5" t="s">
        <v>79</v>
      </c>
      <c r="P16" s="61" t="s">
        <v>58</v>
      </c>
      <c r="Q16" s="62"/>
    </row>
    <row r="17" spans="2:20" ht="18" customHeight="1" x14ac:dyDescent="0.3">
      <c r="M17" s="66" t="s">
        <v>61</v>
      </c>
      <c r="N17" s="15" t="s">
        <v>80</v>
      </c>
      <c r="O17" s="67" t="str">
        <f>IF(OR(MID(N17,8,1)="1",MID(N17,8,1)="2"),19&amp;TEXT(LEFT(N17,6),"00-00-00"),20&amp;TEXT(LEFT(N17,6),"00-00-00"))</f>
        <v>1989-10-10</v>
      </c>
      <c r="P17" s="68" t="str">
        <f>IF(OR(MID(N17,8,1)="1",MID(N17,8,1)="3"),"남자","여자")</f>
        <v>남자</v>
      </c>
      <c r="Q17" s="43"/>
    </row>
    <row r="18" spans="2:20" ht="18" customHeight="1" x14ac:dyDescent="0.3">
      <c r="B18" s="1" t="s">
        <v>81</v>
      </c>
      <c r="M18" s="70" t="s">
        <v>82</v>
      </c>
      <c r="N18" s="23" t="s">
        <v>83</v>
      </c>
      <c r="O18" s="67" t="str">
        <f>IF(OR(MID(N18,8,1)="1",MID(N18,8,1)="2"),19&amp;TEXT(LEFT(N18,6),"00-00-00"),20&amp;TEXT(LEFT(N18,6),"00-00-00"))</f>
        <v>1995-11-20</v>
      </c>
      <c r="P18" s="68" t="str">
        <f>IF(OR(MID(N18,8,1)="1",MID(N18,8,1)="3"),"남자","여자")</f>
        <v>여자</v>
      </c>
      <c r="Q18" s="43"/>
    </row>
    <row r="19" spans="2:20" ht="18" customHeight="1" thickBot="1" x14ac:dyDescent="0.35">
      <c r="B19" s="3" t="s">
        <v>84</v>
      </c>
      <c r="M19" s="70" t="s">
        <v>85</v>
      </c>
      <c r="N19" s="23" t="s">
        <v>86</v>
      </c>
      <c r="O19" s="67" t="str">
        <f>IF(OR(MID(N19,8,1)="1",MID(N19,8,1)="2"),19&amp;TEXT(LEFT(N19,6),"00-00-00"),20&amp;TEXT(LEFT(N19,6),"00-00-00"))</f>
        <v>2004-12-06</v>
      </c>
      <c r="P19" s="68" t="str">
        <f>IF(OR(MID(N19,8,1)="1",MID(N19,8,1)="3"),"남자","여자")</f>
        <v>남자</v>
      </c>
      <c r="Q19" s="43"/>
    </row>
    <row r="20" spans="2:20" ht="18" customHeight="1" thickBot="1" x14ac:dyDescent="0.35">
      <c r="B20" s="41" t="s">
        <v>87</v>
      </c>
      <c r="C20" s="5" t="s">
        <v>5</v>
      </c>
      <c r="D20" s="5" t="s">
        <v>88</v>
      </c>
      <c r="E20" s="5" t="s">
        <v>29</v>
      </c>
      <c r="F20" s="61" t="s">
        <v>89</v>
      </c>
      <c r="G20" s="84"/>
      <c r="H20" s="5" t="s">
        <v>90</v>
      </c>
      <c r="I20" s="61" t="s">
        <v>88</v>
      </c>
      <c r="M20" s="70" t="s">
        <v>91</v>
      </c>
      <c r="N20" s="23" t="s">
        <v>92</v>
      </c>
      <c r="O20" s="67" t="str">
        <f>IF(OR(MID(N20,8,1)="1",MID(N20,8,1)="2"),19&amp;TEXT(LEFT(N20,6),"00-00-00"),20&amp;TEXT(LEFT(N20,6),"00-00-00"))</f>
        <v>2009-12-06</v>
      </c>
      <c r="P20" s="68" t="str">
        <f>IF(OR(MID(N20,8,1)="1",MID(N20,8,1)="3"),"남자","여자")</f>
        <v>여자</v>
      </c>
      <c r="Q20" s="43"/>
    </row>
    <row r="21" spans="2:20" ht="18" customHeight="1" x14ac:dyDescent="0.3">
      <c r="B21" s="85">
        <v>44013</v>
      </c>
      <c r="C21" s="15" t="s">
        <v>33</v>
      </c>
      <c r="D21" s="86">
        <f>VLOOKUP(C21,$H$21:$I$25,2,FALSE)</f>
        <v>20000</v>
      </c>
      <c r="E21" s="16">
        <v>50</v>
      </c>
      <c r="F21" s="86">
        <f>VLOOKUP(C21,$H$21:$I$25,2,FALSE)*E21</f>
        <v>1000000</v>
      </c>
      <c r="G21" s="87"/>
      <c r="H21" s="16" t="s">
        <v>33</v>
      </c>
      <c r="I21" s="88">
        <v>20000</v>
      </c>
    </row>
    <row r="22" spans="2:20" ht="18" customHeight="1" thickBot="1" x14ac:dyDescent="0.35">
      <c r="B22" s="89">
        <v>44013</v>
      </c>
      <c r="C22" s="23" t="s">
        <v>36</v>
      </c>
      <c r="D22" s="86">
        <f>VLOOKUP(C22,$H$21:$I$25,2,)</f>
        <v>28000</v>
      </c>
      <c r="E22" s="24">
        <v>50</v>
      </c>
      <c r="F22" s="86">
        <f>VLOOKUP(C22,$H$21:$I$25,2,FALSE)*E22</f>
        <v>1400000</v>
      </c>
      <c r="G22" s="87"/>
      <c r="H22" s="24" t="s">
        <v>36</v>
      </c>
      <c r="I22" s="90">
        <v>28000</v>
      </c>
      <c r="M22" s="1" t="s">
        <v>93</v>
      </c>
    </row>
    <row r="23" spans="2:20" ht="18" customHeight="1" thickBot="1" x14ac:dyDescent="0.35">
      <c r="B23" s="89">
        <v>44017</v>
      </c>
      <c r="C23" s="23" t="s">
        <v>33</v>
      </c>
      <c r="D23" s="86">
        <f>VLOOKUP(C23,$H$21:$I$25,2)</f>
        <v>20000</v>
      </c>
      <c r="E23" s="24">
        <v>30</v>
      </c>
      <c r="F23" s="86">
        <f>VLOOKUP(C23,$H$21:$I$25,2,FALSE)*E23</f>
        <v>600000</v>
      </c>
      <c r="G23" s="87"/>
      <c r="H23" s="24" t="s">
        <v>94</v>
      </c>
      <c r="I23" s="90">
        <v>15800</v>
      </c>
      <c r="M23" s="4" t="s">
        <v>90</v>
      </c>
      <c r="N23" s="5" t="s">
        <v>30</v>
      </c>
      <c r="O23" s="5" t="s">
        <v>95</v>
      </c>
      <c r="P23" s="5" t="s">
        <v>96</v>
      </c>
      <c r="Q23" s="61" t="s">
        <v>97</v>
      </c>
      <c r="S23" s="5" t="s">
        <v>90</v>
      </c>
      <c r="T23" s="61" t="s">
        <v>88</v>
      </c>
    </row>
    <row r="24" spans="2:20" ht="18" customHeight="1" x14ac:dyDescent="0.3">
      <c r="B24" s="89">
        <v>44058</v>
      </c>
      <c r="C24" s="23" t="s">
        <v>98</v>
      </c>
      <c r="D24" s="86">
        <f>VLOOKUP(C24,$H$21:$I$25,2,FALSE)</f>
        <v>3560</v>
      </c>
      <c r="E24" s="24">
        <v>30</v>
      </c>
      <c r="F24" s="86">
        <f>VLOOKUP(C24,$H$21:$I$25,2,FALSE)*E24</f>
        <v>106800</v>
      </c>
      <c r="G24" s="87"/>
      <c r="H24" s="24" t="s">
        <v>98</v>
      </c>
      <c r="I24" s="90">
        <v>3560</v>
      </c>
      <c r="M24" s="66" t="s">
        <v>99</v>
      </c>
      <c r="N24" s="67">
        <f>IFERROR(VLOOKUP(M24,$S$24:$T$26,2,FALSE),"품목없음")</f>
        <v>18000</v>
      </c>
      <c r="O24" s="78" t="s">
        <v>100</v>
      </c>
      <c r="P24" s="91">
        <v>43872</v>
      </c>
      <c r="Q24" s="78">
        <v>100</v>
      </c>
      <c r="S24" s="16" t="s">
        <v>33</v>
      </c>
      <c r="T24" s="88">
        <v>18000</v>
      </c>
    </row>
    <row r="25" spans="2:20" ht="18" customHeight="1" x14ac:dyDescent="0.3">
      <c r="B25" s="89">
        <v>44066</v>
      </c>
      <c r="C25" s="23" t="s">
        <v>94</v>
      </c>
      <c r="D25" s="86">
        <f>VLOOKUP(C25,$H$21:$I$25,2,FALSE)</f>
        <v>15800</v>
      </c>
      <c r="E25" s="24">
        <v>30</v>
      </c>
      <c r="F25" s="86">
        <f>VLOOKUP(C25,$H$21:$I$25,2,FALSE)*E25</f>
        <v>474000</v>
      </c>
      <c r="G25" s="87"/>
      <c r="H25" s="24"/>
      <c r="I25" s="90"/>
      <c r="M25" s="70" t="s">
        <v>101</v>
      </c>
      <c r="N25" s="67">
        <f>IFERROR(VLOOKUP(M25,$S$24:$T$26,2,FALSE),"품목없음")</f>
        <v>23000</v>
      </c>
      <c r="O25" s="78" t="s">
        <v>102</v>
      </c>
      <c r="P25" s="92">
        <v>43901</v>
      </c>
      <c r="Q25" s="78">
        <v>500</v>
      </c>
      <c r="S25" s="24" t="s">
        <v>36</v>
      </c>
      <c r="T25" s="90">
        <v>23000</v>
      </c>
    </row>
    <row r="26" spans="2:20" ht="18" customHeight="1" x14ac:dyDescent="0.3">
      <c r="B26" s="58"/>
      <c r="M26" s="70" t="s">
        <v>103</v>
      </c>
      <c r="N26" s="67" t="str">
        <f>IFERROR(VLOOKUP(M26,$S$24:$T$26,2,FALSE),"품목없음")</f>
        <v>품목없음</v>
      </c>
      <c r="O26" s="78" t="s">
        <v>100</v>
      </c>
      <c r="P26" s="92">
        <v>43902</v>
      </c>
      <c r="Q26" s="78">
        <v>200</v>
      </c>
      <c r="S26" s="24" t="s">
        <v>104</v>
      </c>
      <c r="T26" s="90">
        <v>20000</v>
      </c>
    </row>
    <row r="27" spans="2:20" ht="18" customHeight="1" x14ac:dyDescent="0.3">
      <c r="B27" s="1" t="s">
        <v>105</v>
      </c>
      <c r="M27" s="70" t="s">
        <v>106</v>
      </c>
      <c r="N27" s="67" t="e">
        <f>VLOOKUP(M27,$S$24:$T$26,2,FALSE)</f>
        <v>#N/A</v>
      </c>
      <c r="O27" s="78" t="s">
        <v>102</v>
      </c>
      <c r="P27" s="92">
        <v>43912</v>
      </c>
      <c r="Q27" s="78">
        <v>100</v>
      </c>
    </row>
    <row r="28" spans="2:20" ht="18" customHeight="1" thickBot="1" x14ac:dyDescent="0.35">
      <c r="B28" s="58"/>
    </row>
    <row r="29" spans="2:20" ht="18" customHeight="1" thickBot="1" x14ac:dyDescent="0.35">
      <c r="B29" s="5" t="s">
        <v>108</v>
      </c>
      <c r="C29" s="61" t="s">
        <v>109</v>
      </c>
      <c r="E29" s="4" t="s">
        <v>109</v>
      </c>
      <c r="F29" s="5" t="s">
        <v>110</v>
      </c>
      <c r="G29" s="5" t="s">
        <v>97</v>
      </c>
      <c r="H29" s="5" t="s">
        <v>111</v>
      </c>
      <c r="I29" s="61" t="s">
        <v>112</v>
      </c>
    </row>
    <row r="30" spans="2:20" ht="18" customHeight="1" x14ac:dyDescent="0.3">
      <c r="B30" s="16" t="s">
        <v>113</v>
      </c>
      <c r="C30" s="68" t="str">
        <f>LOOKUP(MAX($G$30:$G$32),$G$30:$G$32,$E$30:$E$32)</f>
        <v>아프리카</v>
      </c>
      <c r="E30" s="66" t="s">
        <v>114</v>
      </c>
      <c r="F30" s="15" t="s">
        <v>115</v>
      </c>
      <c r="G30" s="78">
        <v>1500</v>
      </c>
      <c r="H30" s="78">
        <v>10000</v>
      </c>
      <c r="I30" s="78">
        <f>G30*H30</f>
        <v>15000000</v>
      </c>
    </row>
    <row r="31" spans="2:20" ht="18" customHeight="1" x14ac:dyDescent="0.3">
      <c r="B31" s="24" t="s">
        <v>116</v>
      </c>
      <c r="C31" s="68" t="str">
        <f>LOOKUP(MIN($G$30:$G$32),$G$30:$G$32,$E$30:$E$32)</f>
        <v>중국</v>
      </c>
      <c r="E31" s="70" t="s">
        <v>117</v>
      </c>
      <c r="F31" s="23" t="s">
        <v>118</v>
      </c>
      <c r="G31" s="78">
        <v>2000</v>
      </c>
      <c r="H31" s="81">
        <v>5000</v>
      </c>
      <c r="I31" s="78">
        <f>G31*H31</f>
        <v>10000000</v>
      </c>
    </row>
    <row r="32" spans="2:20" ht="18" customHeight="1" x14ac:dyDescent="0.3">
      <c r="B32" s="58"/>
      <c r="E32" s="70" t="s">
        <v>119</v>
      </c>
      <c r="F32" s="23" t="s">
        <v>120</v>
      </c>
      <c r="G32" s="78">
        <v>3000</v>
      </c>
      <c r="H32" s="81">
        <v>6000</v>
      </c>
      <c r="I32" s="78">
        <f>G32*H32</f>
        <v>18000000</v>
      </c>
    </row>
    <row r="33" spans="2:2" ht="18" customHeight="1" x14ac:dyDescent="0.3">
      <c r="B33" s="58"/>
    </row>
  </sheetData>
  <mergeCells count="4">
    <mergeCell ref="M10:N10"/>
    <mergeCell ref="M11:N11"/>
    <mergeCell ref="M12:N12"/>
    <mergeCell ref="M13:N1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0432-BA04-483D-837D-EE926B9DE1DF}">
  <dimension ref="B3:T31"/>
  <sheetViews>
    <sheetView showGridLines="0" zoomScale="85" zoomScaleNormal="85" workbookViewId="0">
      <selection activeCell="F6" sqref="F6"/>
    </sheetView>
  </sheetViews>
  <sheetFormatPr defaultRowHeight="18" customHeight="1" x14ac:dyDescent="0.3"/>
  <cols>
    <col min="1" max="1" width="2" style="2" customWidth="1"/>
    <col min="2" max="2" width="13.875" style="2" customWidth="1"/>
    <col min="3" max="3" width="13.25" style="2" customWidth="1"/>
    <col min="4" max="4" width="15.375" style="2" customWidth="1"/>
    <col min="5" max="13" width="12.25" style="2" customWidth="1"/>
    <col min="14" max="256" width="9" style="2"/>
    <col min="257" max="257" width="2" style="2" customWidth="1"/>
    <col min="258" max="258" width="13.875" style="2" customWidth="1"/>
    <col min="259" max="259" width="13.25" style="2" customWidth="1"/>
    <col min="260" max="260" width="15.375" style="2" customWidth="1"/>
    <col min="261" max="269" width="12.25" style="2" customWidth="1"/>
    <col min="270" max="512" width="9" style="2"/>
    <col min="513" max="513" width="2" style="2" customWidth="1"/>
    <col min="514" max="514" width="13.875" style="2" customWidth="1"/>
    <col min="515" max="515" width="13.25" style="2" customWidth="1"/>
    <col min="516" max="516" width="15.375" style="2" customWidth="1"/>
    <col min="517" max="525" width="12.25" style="2" customWidth="1"/>
    <col min="526" max="768" width="9" style="2"/>
    <col min="769" max="769" width="2" style="2" customWidth="1"/>
    <col min="770" max="770" width="13.875" style="2" customWidth="1"/>
    <col min="771" max="771" width="13.25" style="2" customWidth="1"/>
    <col min="772" max="772" width="15.375" style="2" customWidth="1"/>
    <col min="773" max="781" width="12.25" style="2" customWidth="1"/>
    <col min="782" max="1024" width="9" style="2"/>
    <col min="1025" max="1025" width="2" style="2" customWidth="1"/>
    <col min="1026" max="1026" width="13.875" style="2" customWidth="1"/>
    <col min="1027" max="1027" width="13.25" style="2" customWidth="1"/>
    <col min="1028" max="1028" width="15.375" style="2" customWidth="1"/>
    <col min="1029" max="1037" width="12.25" style="2" customWidth="1"/>
    <col min="1038" max="1280" width="9" style="2"/>
    <col min="1281" max="1281" width="2" style="2" customWidth="1"/>
    <col min="1282" max="1282" width="13.875" style="2" customWidth="1"/>
    <col min="1283" max="1283" width="13.25" style="2" customWidth="1"/>
    <col min="1284" max="1284" width="15.375" style="2" customWidth="1"/>
    <col min="1285" max="1293" width="12.25" style="2" customWidth="1"/>
    <col min="1294" max="1536" width="9" style="2"/>
    <col min="1537" max="1537" width="2" style="2" customWidth="1"/>
    <col min="1538" max="1538" width="13.875" style="2" customWidth="1"/>
    <col min="1539" max="1539" width="13.25" style="2" customWidth="1"/>
    <col min="1540" max="1540" width="15.375" style="2" customWidth="1"/>
    <col min="1541" max="1549" width="12.25" style="2" customWidth="1"/>
    <col min="1550" max="1792" width="9" style="2"/>
    <col min="1793" max="1793" width="2" style="2" customWidth="1"/>
    <col min="1794" max="1794" width="13.875" style="2" customWidth="1"/>
    <col min="1795" max="1795" width="13.25" style="2" customWidth="1"/>
    <col min="1796" max="1796" width="15.375" style="2" customWidth="1"/>
    <col min="1797" max="1805" width="12.25" style="2" customWidth="1"/>
    <col min="1806" max="2048" width="9" style="2"/>
    <col min="2049" max="2049" width="2" style="2" customWidth="1"/>
    <col min="2050" max="2050" width="13.875" style="2" customWidth="1"/>
    <col min="2051" max="2051" width="13.25" style="2" customWidth="1"/>
    <col min="2052" max="2052" width="15.375" style="2" customWidth="1"/>
    <col min="2053" max="2061" width="12.25" style="2" customWidth="1"/>
    <col min="2062" max="2304" width="9" style="2"/>
    <col min="2305" max="2305" width="2" style="2" customWidth="1"/>
    <col min="2306" max="2306" width="13.875" style="2" customWidth="1"/>
    <col min="2307" max="2307" width="13.25" style="2" customWidth="1"/>
    <col min="2308" max="2308" width="15.375" style="2" customWidth="1"/>
    <col min="2309" max="2317" width="12.25" style="2" customWidth="1"/>
    <col min="2318" max="2560" width="9" style="2"/>
    <col min="2561" max="2561" width="2" style="2" customWidth="1"/>
    <col min="2562" max="2562" width="13.875" style="2" customWidth="1"/>
    <col min="2563" max="2563" width="13.25" style="2" customWidth="1"/>
    <col min="2564" max="2564" width="15.375" style="2" customWidth="1"/>
    <col min="2565" max="2573" width="12.25" style="2" customWidth="1"/>
    <col min="2574" max="2816" width="9" style="2"/>
    <col min="2817" max="2817" width="2" style="2" customWidth="1"/>
    <col min="2818" max="2818" width="13.875" style="2" customWidth="1"/>
    <col min="2819" max="2819" width="13.25" style="2" customWidth="1"/>
    <col min="2820" max="2820" width="15.375" style="2" customWidth="1"/>
    <col min="2821" max="2829" width="12.25" style="2" customWidth="1"/>
    <col min="2830" max="3072" width="9" style="2"/>
    <col min="3073" max="3073" width="2" style="2" customWidth="1"/>
    <col min="3074" max="3074" width="13.875" style="2" customWidth="1"/>
    <col min="3075" max="3075" width="13.25" style="2" customWidth="1"/>
    <col min="3076" max="3076" width="15.375" style="2" customWidth="1"/>
    <col min="3077" max="3085" width="12.25" style="2" customWidth="1"/>
    <col min="3086" max="3328" width="9" style="2"/>
    <col min="3329" max="3329" width="2" style="2" customWidth="1"/>
    <col min="3330" max="3330" width="13.875" style="2" customWidth="1"/>
    <col min="3331" max="3331" width="13.25" style="2" customWidth="1"/>
    <col min="3332" max="3332" width="15.375" style="2" customWidth="1"/>
    <col min="3333" max="3341" width="12.25" style="2" customWidth="1"/>
    <col min="3342" max="3584" width="9" style="2"/>
    <col min="3585" max="3585" width="2" style="2" customWidth="1"/>
    <col min="3586" max="3586" width="13.875" style="2" customWidth="1"/>
    <col min="3587" max="3587" width="13.25" style="2" customWidth="1"/>
    <col min="3588" max="3588" width="15.375" style="2" customWidth="1"/>
    <col min="3589" max="3597" width="12.25" style="2" customWidth="1"/>
    <col min="3598" max="3840" width="9" style="2"/>
    <col min="3841" max="3841" width="2" style="2" customWidth="1"/>
    <col min="3842" max="3842" width="13.875" style="2" customWidth="1"/>
    <col min="3843" max="3843" width="13.25" style="2" customWidth="1"/>
    <col min="3844" max="3844" width="15.375" style="2" customWidth="1"/>
    <col min="3845" max="3853" width="12.25" style="2" customWidth="1"/>
    <col min="3854" max="4096" width="9" style="2"/>
    <col min="4097" max="4097" width="2" style="2" customWidth="1"/>
    <col min="4098" max="4098" width="13.875" style="2" customWidth="1"/>
    <col min="4099" max="4099" width="13.25" style="2" customWidth="1"/>
    <col min="4100" max="4100" width="15.375" style="2" customWidth="1"/>
    <col min="4101" max="4109" width="12.25" style="2" customWidth="1"/>
    <col min="4110" max="4352" width="9" style="2"/>
    <col min="4353" max="4353" width="2" style="2" customWidth="1"/>
    <col min="4354" max="4354" width="13.875" style="2" customWidth="1"/>
    <col min="4355" max="4355" width="13.25" style="2" customWidth="1"/>
    <col min="4356" max="4356" width="15.375" style="2" customWidth="1"/>
    <col min="4357" max="4365" width="12.25" style="2" customWidth="1"/>
    <col min="4366" max="4608" width="9" style="2"/>
    <col min="4609" max="4609" width="2" style="2" customWidth="1"/>
    <col min="4610" max="4610" width="13.875" style="2" customWidth="1"/>
    <col min="4611" max="4611" width="13.25" style="2" customWidth="1"/>
    <col min="4612" max="4612" width="15.375" style="2" customWidth="1"/>
    <col min="4613" max="4621" width="12.25" style="2" customWidth="1"/>
    <col min="4622" max="4864" width="9" style="2"/>
    <col min="4865" max="4865" width="2" style="2" customWidth="1"/>
    <col min="4866" max="4866" width="13.875" style="2" customWidth="1"/>
    <col min="4867" max="4867" width="13.25" style="2" customWidth="1"/>
    <col min="4868" max="4868" width="15.375" style="2" customWidth="1"/>
    <col min="4869" max="4877" width="12.25" style="2" customWidth="1"/>
    <col min="4878" max="5120" width="9" style="2"/>
    <col min="5121" max="5121" width="2" style="2" customWidth="1"/>
    <col min="5122" max="5122" width="13.875" style="2" customWidth="1"/>
    <col min="5123" max="5123" width="13.25" style="2" customWidth="1"/>
    <col min="5124" max="5124" width="15.375" style="2" customWidth="1"/>
    <col min="5125" max="5133" width="12.25" style="2" customWidth="1"/>
    <col min="5134" max="5376" width="9" style="2"/>
    <col min="5377" max="5377" width="2" style="2" customWidth="1"/>
    <col min="5378" max="5378" width="13.875" style="2" customWidth="1"/>
    <col min="5379" max="5379" width="13.25" style="2" customWidth="1"/>
    <col min="5380" max="5380" width="15.375" style="2" customWidth="1"/>
    <col min="5381" max="5389" width="12.25" style="2" customWidth="1"/>
    <col min="5390" max="5632" width="9" style="2"/>
    <col min="5633" max="5633" width="2" style="2" customWidth="1"/>
    <col min="5634" max="5634" width="13.875" style="2" customWidth="1"/>
    <col min="5635" max="5635" width="13.25" style="2" customWidth="1"/>
    <col min="5636" max="5636" width="15.375" style="2" customWidth="1"/>
    <col min="5637" max="5645" width="12.25" style="2" customWidth="1"/>
    <col min="5646" max="5888" width="9" style="2"/>
    <col min="5889" max="5889" width="2" style="2" customWidth="1"/>
    <col min="5890" max="5890" width="13.875" style="2" customWidth="1"/>
    <col min="5891" max="5891" width="13.25" style="2" customWidth="1"/>
    <col min="5892" max="5892" width="15.375" style="2" customWidth="1"/>
    <col min="5893" max="5901" width="12.25" style="2" customWidth="1"/>
    <col min="5902" max="6144" width="9" style="2"/>
    <col min="6145" max="6145" width="2" style="2" customWidth="1"/>
    <col min="6146" max="6146" width="13.875" style="2" customWidth="1"/>
    <col min="6147" max="6147" width="13.25" style="2" customWidth="1"/>
    <col min="6148" max="6148" width="15.375" style="2" customWidth="1"/>
    <col min="6149" max="6157" width="12.25" style="2" customWidth="1"/>
    <col min="6158" max="6400" width="9" style="2"/>
    <col min="6401" max="6401" width="2" style="2" customWidth="1"/>
    <col min="6402" max="6402" width="13.875" style="2" customWidth="1"/>
    <col min="6403" max="6403" width="13.25" style="2" customWidth="1"/>
    <col min="6404" max="6404" width="15.375" style="2" customWidth="1"/>
    <col min="6405" max="6413" width="12.25" style="2" customWidth="1"/>
    <col min="6414" max="6656" width="9" style="2"/>
    <col min="6657" max="6657" width="2" style="2" customWidth="1"/>
    <col min="6658" max="6658" width="13.875" style="2" customWidth="1"/>
    <col min="6659" max="6659" width="13.25" style="2" customWidth="1"/>
    <col min="6660" max="6660" width="15.375" style="2" customWidth="1"/>
    <col min="6661" max="6669" width="12.25" style="2" customWidth="1"/>
    <col min="6670" max="6912" width="9" style="2"/>
    <col min="6913" max="6913" width="2" style="2" customWidth="1"/>
    <col min="6914" max="6914" width="13.875" style="2" customWidth="1"/>
    <col min="6915" max="6915" width="13.25" style="2" customWidth="1"/>
    <col min="6916" max="6916" width="15.375" style="2" customWidth="1"/>
    <col min="6917" max="6925" width="12.25" style="2" customWidth="1"/>
    <col min="6926" max="7168" width="9" style="2"/>
    <col min="7169" max="7169" width="2" style="2" customWidth="1"/>
    <col min="7170" max="7170" width="13.875" style="2" customWidth="1"/>
    <col min="7171" max="7171" width="13.25" style="2" customWidth="1"/>
    <col min="7172" max="7172" width="15.375" style="2" customWidth="1"/>
    <col min="7173" max="7181" width="12.25" style="2" customWidth="1"/>
    <col min="7182" max="7424" width="9" style="2"/>
    <col min="7425" max="7425" width="2" style="2" customWidth="1"/>
    <col min="7426" max="7426" width="13.875" style="2" customWidth="1"/>
    <col min="7427" max="7427" width="13.25" style="2" customWidth="1"/>
    <col min="7428" max="7428" width="15.375" style="2" customWidth="1"/>
    <col min="7429" max="7437" width="12.25" style="2" customWidth="1"/>
    <col min="7438" max="7680" width="9" style="2"/>
    <col min="7681" max="7681" width="2" style="2" customWidth="1"/>
    <col min="7682" max="7682" width="13.875" style="2" customWidth="1"/>
    <col min="7683" max="7683" width="13.25" style="2" customWidth="1"/>
    <col min="7684" max="7684" width="15.375" style="2" customWidth="1"/>
    <col min="7685" max="7693" width="12.25" style="2" customWidth="1"/>
    <col min="7694" max="7936" width="9" style="2"/>
    <col min="7937" max="7937" width="2" style="2" customWidth="1"/>
    <col min="7938" max="7938" width="13.875" style="2" customWidth="1"/>
    <col min="7939" max="7939" width="13.25" style="2" customWidth="1"/>
    <col min="7940" max="7940" width="15.375" style="2" customWidth="1"/>
    <col min="7941" max="7949" width="12.25" style="2" customWidth="1"/>
    <col min="7950" max="8192" width="9" style="2"/>
    <col min="8193" max="8193" width="2" style="2" customWidth="1"/>
    <col min="8194" max="8194" width="13.875" style="2" customWidth="1"/>
    <col min="8195" max="8195" width="13.25" style="2" customWidth="1"/>
    <col min="8196" max="8196" width="15.375" style="2" customWidth="1"/>
    <col min="8197" max="8205" width="12.25" style="2" customWidth="1"/>
    <col min="8206" max="8448" width="9" style="2"/>
    <col min="8449" max="8449" width="2" style="2" customWidth="1"/>
    <col min="8450" max="8450" width="13.875" style="2" customWidth="1"/>
    <col min="8451" max="8451" width="13.25" style="2" customWidth="1"/>
    <col min="8452" max="8452" width="15.375" style="2" customWidth="1"/>
    <col min="8453" max="8461" width="12.25" style="2" customWidth="1"/>
    <col min="8462" max="8704" width="9" style="2"/>
    <col min="8705" max="8705" width="2" style="2" customWidth="1"/>
    <col min="8706" max="8706" width="13.875" style="2" customWidth="1"/>
    <col min="8707" max="8707" width="13.25" style="2" customWidth="1"/>
    <col min="8708" max="8708" width="15.375" style="2" customWidth="1"/>
    <col min="8709" max="8717" width="12.25" style="2" customWidth="1"/>
    <col min="8718" max="8960" width="9" style="2"/>
    <col min="8961" max="8961" width="2" style="2" customWidth="1"/>
    <col min="8962" max="8962" width="13.875" style="2" customWidth="1"/>
    <col min="8963" max="8963" width="13.25" style="2" customWidth="1"/>
    <col min="8964" max="8964" width="15.375" style="2" customWidth="1"/>
    <col min="8965" max="8973" width="12.25" style="2" customWidth="1"/>
    <col min="8974" max="9216" width="9" style="2"/>
    <col min="9217" max="9217" width="2" style="2" customWidth="1"/>
    <col min="9218" max="9218" width="13.875" style="2" customWidth="1"/>
    <col min="9219" max="9219" width="13.25" style="2" customWidth="1"/>
    <col min="9220" max="9220" width="15.375" style="2" customWidth="1"/>
    <col min="9221" max="9229" width="12.25" style="2" customWidth="1"/>
    <col min="9230" max="9472" width="9" style="2"/>
    <col min="9473" max="9473" width="2" style="2" customWidth="1"/>
    <col min="9474" max="9474" width="13.875" style="2" customWidth="1"/>
    <col min="9475" max="9475" width="13.25" style="2" customWidth="1"/>
    <col min="9476" max="9476" width="15.375" style="2" customWidth="1"/>
    <col min="9477" max="9485" width="12.25" style="2" customWidth="1"/>
    <col min="9486" max="9728" width="9" style="2"/>
    <col min="9729" max="9729" width="2" style="2" customWidth="1"/>
    <col min="9730" max="9730" width="13.875" style="2" customWidth="1"/>
    <col min="9731" max="9731" width="13.25" style="2" customWidth="1"/>
    <col min="9732" max="9732" width="15.375" style="2" customWidth="1"/>
    <col min="9733" max="9741" width="12.25" style="2" customWidth="1"/>
    <col min="9742" max="9984" width="9" style="2"/>
    <col min="9985" max="9985" width="2" style="2" customWidth="1"/>
    <col min="9986" max="9986" width="13.875" style="2" customWidth="1"/>
    <col min="9987" max="9987" width="13.25" style="2" customWidth="1"/>
    <col min="9988" max="9988" width="15.375" style="2" customWidth="1"/>
    <col min="9989" max="9997" width="12.25" style="2" customWidth="1"/>
    <col min="9998" max="10240" width="9" style="2"/>
    <col min="10241" max="10241" width="2" style="2" customWidth="1"/>
    <col min="10242" max="10242" width="13.875" style="2" customWidth="1"/>
    <col min="10243" max="10243" width="13.25" style="2" customWidth="1"/>
    <col min="10244" max="10244" width="15.375" style="2" customWidth="1"/>
    <col min="10245" max="10253" width="12.25" style="2" customWidth="1"/>
    <col min="10254" max="10496" width="9" style="2"/>
    <col min="10497" max="10497" width="2" style="2" customWidth="1"/>
    <col min="10498" max="10498" width="13.875" style="2" customWidth="1"/>
    <col min="10499" max="10499" width="13.25" style="2" customWidth="1"/>
    <col min="10500" max="10500" width="15.375" style="2" customWidth="1"/>
    <col min="10501" max="10509" width="12.25" style="2" customWidth="1"/>
    <col min="10510" max="10752" width="9" style="2"/>
    <col min="10753" max="10753" width="2" style="2" customWidth="1"/>
    <col min="10754" max="10754" width="13.875" style="2" customWidth="1"/>
    <col min="10755" max="10755" width="13.25" style="2" customWidth="1"/>
    <col min="10756" max="10756" width="15.375" style="2" customWidth="1"/>
    <col min="10757" max="10765" width="12.25" style="2" customWidth="1"/>
    <col min="10766" max="11008" width="9" style="2"/>
    <col min="11009" max="11009" width="2" style="2" customWidth="1"/>
    <col min="11010" max="11010" width="13.875" style="2" customWidth="1"/>
    <col min="11011" max="11011" width="13.25" style="2" customWidth="1"/>
    <col min="11012" max="11012" width="15.375" style="2" customWidth="1"/>
    <col min="11013" max="11021" width="12.25" style="2" customWidth="1"/>
    <col min="11022" max="11264" width="9" style="2"/>
    <col min="11265" max="11265" width="2" style="2" customWidth="1"/>
    <col min="11266" max="11266" width="13.875" style="2" customWidth="1"/>
    <col min="11267" max="11267" width="13.25" style="2" customWidth="1"/>
    <col min="11268" max="11268" width="15.375" style="2" customWidth="1"/>
    <col min="11269" max="11277" width="12.25" style="2" customWidth="1"/>
    <col min="11278" max="11520" width="9" style="2"/>
    <col min="11521" max="11521" width="2" style="2" customWidth="1"/>
    <col min="11522" max="11522" width="13.875" style="2" customWidth="1"/>
    <col min="11523" max="11523" width="13.25" style="2" customWidth="1"/>
    <col min="11524" max="11524" width="15.375" style="2" customWidth="1"/>
    <col min="11525" max="11533" width="12.25" style="2" customWidth="1"/>
    <col min="11534" max="11776" width="9" style="2"/>
    <col min="11777" max="11777" width="2" style="2" customWidth="1"/>
    <col min="11778" max="11778" width="13.875" style="2" customWidth="1"/>
    <col min="11779" max="11779" width="13.25" style="2" customWidth="1"/>
    <col min="11780" max="11780" width="15.375" style="2" customWidth="1"/>
    <col min="11781" max="11789" width="12.25" style="2" customWidth="1"/>
    <col min="11790" max="12032" width="9" style="2"/>
    <col min="12033" max="12033" width="2" style="2" customWidth="1"/>
    <col min="12034" max="12034" width="13.875" style="2" customWidth="1"/>
    <col min="12035" max="12035" width="13.25" style="2" customWidth="1"/>
    <col min="12036" max="12036" width="15.375" style="2" customWidth="1"/>
    <col min="12037" max="12045" width="12.25" style="2" customWidth="1"/>
    <col min="12046" max="12288" width="9" style="2"/>
    <col min="12289" max="12289" width="2" style="2" customWidth="1"/>
    <col min="12290" max="12290" width="13.875" style="2" customWidth="1"/>
    <col min="12291" max="12291" width="13.25" style="2" customWidth="1"/>
    <col min="12292" max="12292" width="15.375" style="2" customWidth="1"/>
    <col min="12293" max="12301" width="12.25" style="2" customWidth="1"/>
    <col min="12302" max="12544" width="9" style="2"/>
    <col min="12545" max="12545" width="2" style="2" customWidth="1"/>
    <col min="12546" max="12546" width="13.875" style="2" customWidth="1"/>
    <col min="12547" max="12547" width="13.25" style="2" customWidth="1"/>
    <col min="12548" max="12548" width="15.375" style="2" customWidth="1"/>
    <col min="12549" max="12557" width="12.25" style="2" customWidth="1"/>
    <col min="12558" max="12800" width="9" style="2"/>
    <col min="12801" max="12801" width="2" style="2" customWidth="1"/>
    <col min="12802" max="12802" width="13.875" style="2" customWidth="1"/>
    <col min="12803" max="12803" width="13.25" style="2" customWidth="1"/>
    <col min="12804" max="12804" width="15.375" style="2" customWidth="1"/>
    <col min="12805" max="12813" width="12.25" style="2" customWidth="1"/>
    <col min="12814" max="13056" width="9" style="2"/>
    <col min="13057" max="13057" width="2" style="2" customWidth="1"/>
    <col min="13058" max="13058" width="13.875" style="2" customWidth="1"/>
    <col min="13059" max="13059" width="13.25" style="2" customWidth="1"/>
    <col min="13060" max="13060" width="15.375" style="2" customWidth="1"/>
    <col min="13061" max="13069" width="12.25" style="2" customWidth="1"/>
    <col min="13070" max="13312" width="9" style="2"/>
    <col min="13313" max="13313" width="2" style="2" customWidth="1"/>
    <col min="13314" max="13314" width="13.875" style="2" customWidth="1"/>
    <col min="13315" max="13315" width="13.25" style="2" customWidth="1"/>
    <col min="13316" max="13316" width="15.375" style="2" customWidth="1"/>
    <col min="13317" max="13325" width="12.25" style="2" customWidth="1"/>
    <col min="13326" max="13568" width="9" style="2"/>
    <col min="13569" max="13569" width="2" style="2" customWidth="1"/>
    <col min="13570" max="13570" width="13.875" style="2" customWidth="1"/>
    <col min="13571" max="13571" width="13.25" style="2" customWidth="1"/>
    <col min="13572" max="13572" width="15.375" style="2" customWidth="1"/>
    <col min="13573" max="13581" width="12.25" style="2" customWidth="1"/>
    <col min="13582" max="13824" width="9" style="2"/>
    <col min="13825" max="13825" width="2" style="2" customWidth="1"/>
    <col min="13826" max="13826" width="13.875" style="2" customWidth="1"/>
    <col min="13827" max="13827" width="13.25" style="2" customWidth="1"/>
    <col min="13828" max="13828" width="15.375" style="2" customWidth="1"/>
    <col min="13829" max="13837" width="12.25" style="2" customWidth="1"/>
    <col min="13838" max="14080" width="9" style="2"/>
    <col min="14081" max="14081" width="2" style="2" customWidth="1"/>
    <col min="14082" max="14082" width="13.875" style="2" customWidth="1"/>
    <col min="14083" max="14083" width="13.25" style="2" customWidth="1"/>
    <col min="14084" max="14084" width="15.375" style="2" customWidth="1"/>
    <col min="14085" max="14093" width="12.25" style="2" customWidth="1"/>
    <col min="14094" max="14336" width="9" style="2"/>
    <col min="14337" max="14337" width="2" style="2" customWidth="1"/>
    <col min="14338" max="14338" width="13.875" style="2" customWidth="1"/>
    <col min="14339" max="14339" width="13.25" style="2" customWidth="1"/>
    <col min="14340" max="14340" width="15.375" style="2" customWidth="1"/>
    <col min="14341" max="14349" width="12.25" style="2" customWidth="1"/>
    <col min="14350" max="14592" width="9" style="2"/>
    <col min="14593" max="14593" width="2" style="2" customWidth="1"/>
    <col min="14594" max="14594" width="13.875" style="2" customWidth="1"/>
    <col min="14595" max="14595" width="13.25" style="2" customWidth="1"/>
    <col min="14596" max="14596" width="15.375" style="2" customWidth="1"/>
    <col min="14597" max="14605" width="12.25" style="2" customWidth="1"/>
    <col min="14606" max="14848" width="9" style="2"/>
    <col min="14849" max="14849" width="2" style="2" customWidth="1"/>
    <col min="14850" max="14850" width="13.875" style="2" customWidth="1"/>
    <col min="14851" max="14851" width="13.25" style="2" customWidth="1"/>
    <col min="14852" max="14852" width="15.375" style="2" customWidth="1"/>
    <col min="14853" max="14861" width="12.25" style="2" customWidth="1"/>
    <col min="14862" max="15104" width="9" style="2"/>
    <col min="15105" max="15105" width="2" style="2" customWidth="1"/>
    <col min="15106" max="15106" width="13.875" style="2" customWidth="1"/>
    <col min="15107" max="15107" width="13.25" style="2" customWidth="1"/>
    <col min="15108" max="15108" width="15.375" style="2" customWidth="1"/>
    <col min="15109" max="15117" width="12.25" style="2" customWidth="1"/>
    <col min="15118" max="15360" width="9" style="2"/>
    <col min="15361" max="15361" width="2" style="2" customWidth="1"/>
    <col min="15362" max="15362" width="13.875" style="2" customWidth="1"/>
    <col min="15363" max="15363" width="13.25" style="2" customWidth="1"/>
    <col min="15364" max="15364" width="15.375" style="2" customWidth="1"/>
    <col min="15365" max="15373" width="12.25" style="2" customWidth="1"/>
    <col min="15374" max="15616" width="9" style="2"/>
    <col min="15617" max="15617" width="2" style="2" customWidth="1"/>
    <col min="15618" max="15618" width="13.875" style="2" customWidth="1"/>
    <col min="15619" max="15619" width="13.25" style="2" customWidth="1"/>
    <col min="15620" max="15620" width="15.375" style="2" customWidth="1"/>
    <col min="15621" max="15629" width="12.25" style="2" customWidth="1"/>
    <col min="15630" max="15872" width="9" style="2"/>
    <col min="15873" max="15873" width="2" style="2" customWidth="1"/>
    <col min="15874" max="15874" width="13.875" style="2" customWidth="1"/>
    <col min="15875" max="15875" width="13.25" style="2" customWidth="1"/>
    <col min="15876" max="15876" width="15.375" style="2" customWidth="1"/>
    <col min="15877" max="15885" width="12.25" style="2" customWidth="1"/>
    <col min="15886" max="16128" width="9" style="2"/>
    <col min="16129" max="16129" width="2" style="2" customWidth="1"/>
    <col min="16130" max="16130" width="13.875" style="2" customWidth="1"/>
    <col min="16131" max="16131" width="13.25" style="2" customWidth="1"/>
    <col min="16132" max="16132" width="15.375" style="2" customWidth="1"/>
    <col min="16133" max="16141" width="12.25" style="2" customWidth="1"/>
    <col min="16142" max="16384" width="9" style="2"/>
  </cols>
  <sheetData>
    <row r="3" spans="2:20" ht="18" customHeight="1" thickBot="1" x14ac:dyDescent="0.35">
      <c r="B3" s="1" t="s">
        <v>121</v>
      </c>
      <c r="L3" s="1" t="s">
        <v>122</v>
      </c>
    </row>
    <row r="4" spans="2:20" ht="18" customHeight="1" thickBot="1" x14ac:dyDescent="0.35">
      <c r="B4" s="4" t="s">
        <v>87</v>
      </c>
      <c r="C4" s="61" t="s">
        <v>123</v>
      </c>
      <c r="D4" s="62"/>
      <c r="E4" s="62"/>
      <c r="L4" s="4" t="s">
        <v>124</v>
      </c>
      <c r="M4" s="93" t="s">
        <v>125</v>
      </c>
      <c r="N4" s="94"/>
      <c r="O4" s="95"/>
      <c r="Q4" s="4" t="s">
        <v>108</v>
      </c>
      <c r="R4" s="5" t="s">
        <v>126</v>
      </c>
      <c r="S4" s="5" t="s">
        <v>127</v>
      </c>
    </row>
    <row r="5" spans="2:20" ht="18" customHeight="1" x14ac:dyDescent="0.3">
      <c r="B5" s="96">
        <v>44160</v>
      </c>
      <c r="C5" s="97">
        <f>DATE(YEAR(B5),MONTH(B5),DAY(B5))</f>
        <v>44160</v>
      </c>
      <c r="D5" s="43"/>
      <c r="E5" s="43"/>
      <c r="L5" s="98">
        <f ca="1">TODAY()</f>
        <v>44531</v>
      </c>
      <c r="M5" s="99" t="str">
        <f ca="1">"오늘은 "&amp;TEXT(TODAY(),"yyyy년 mm월 dd일")&amp;" 입니다."</f>
        <v>오늘은 2021년 12월 01일 입니다.</v>
      </c>
      <c r="N5" s="100"/>
      <c r="O5" s="101"/>
      <c r="Q5" s="66" t="s">
        <v>128</v>
      </c>
      <c r="R5" s="102">
        <v>44168</v>
      </c>
      <c r="S5" s="67" t="str">
        <f ca="1">"D"&amp;TODAY()-R5</f>
        <v>D363</v>
      </c>
    </row>
    <row r="6" spans="2:20" ht="18" customHeight="1" x14ac:dyDescent="0.3">
      <c r="B6" s="103">
        <v>44160</v>
      </c>
      <c r="C6" s="104">
        <f>DATE(YEAR(B6),MONTH(B6),DAY(B6))</f>
        <v>44160</v>
      </c>
      <c r="D6" s="43"/>
      <c r="E6" s="43"/>
      <c r="L6" s="105"/>
      <c r="M6" s="34"/>
      <c r="N6" s="34"/>
      <c r="O6" s="34"/>
      <c r="Q6" s="70" t="s">
        <v>129</v>
      </c>
      <c r="R6" s="106">
        <v>44180</v>
      </c>
      <c r="S6" s="67" t="str">
        <f ca="1">"D"&amp;TODAY()-R6</f>
        <v>D351</v>
      </c>
    </row>
    <row r="7" spans="2:20" ht="18" customHeight="1" x14ac:dyDescent="0.3">
      <c r="B7" s="107">
        <v>44160</v>
      </c>
      <c r="C7" s="104">
        <f>DATE(YEAR(B7),MONTH(B7),DAY(B7))</f>
        <v>44160</v>
      </c>
      <c r="D7" s="43"/>
      <c r="E7" s="43"/>
      <c r="L7" s="105"/>
      <c r="M7" s="34"/>
      <c r="N7" s="34"/>
      <c r="O7" s="34"/>
      <c r="Q7" s="70" t="s">
        <v>130</v>
      </c>
      <c r="R7" s="106">
        <v>44270</v>
      </c>
      <c r="S7" s="67" t="str">
        <f ca="1">"D"&amp;TODAY()-R7</f>
        <v>D261</v>
      </c>
    </row>
    <row r="8" spans="2:20" ht="18" customHeight="1" x14ac:dyDescent="0.3">
      <c r="B8" s="108" t="s">
        <v>131</v>
      </c>
      <c r="C8" s="104">
        <f>DATE(YEAR(B8),MONTH(B8),DAY(B8))</f>
        <v>44160</v>
      </c>
    </row>
    <row r="9" spans="2:20" ht="18" customHeight="1" thickBot="1" x14ac:dyDescent="0.35">
      <c r="B9" s="109"/>
      <c r="C9" s="104">
        <f>DATE(2020,11,25)</f>
        <v>44160</v>
      </c>
      <c r="L9" s="1" t="s">
        <v>132</v>
      </c>
    </row>
    <row r="10" spans="2:20" ht="18" customHeight="1" thickBot="1" x14ac:dyDescent="0.35">
      <c r="L10" s="110" t="s">
        <v>133</v>
      </c>
      <c r="M10" s="110"/>
      <c r="N10" s="111" t="s">
        <v>125</v>
      </c>
      <c r="O10" s="111"/>
      <c r="P10" s="111"/>
      <c r="Q10" s="111"/>
    </row>
    <row r="11" spans="2:20" ht="18" customHeight="1" thickBot="1" x14ac:dyDescent="0.35">
      <c r="B11" s="1" t="s">
        <v>134</v>
      </c>
      <c r="L11" s="112">
        <f ca="1">NOW()</f>
        <v>44531.386521759261</v>
      </c>
      <c r="M11" s="112"/>
      <c r="N11" s="113" t="str">
        <f ca="1">"현재 시각은 "&amp;TEXT(NOW(),"yyyy년 mm월 dd일 hh시 mm분 ss초")&amp;"입니다."</f>
        <v>현재 시각은 2021년 12월 01일 09시 16분 35초입니다.</v>
      </c>
      <c r="O11" s="113"/>
      <c r="P11" s="113"/>
      <c r="Q11" s="113"/>
      <c r="T11" s="114"/>
    </row>
    <row r="12" spans="2:20" ht="18" customHeight="1" thickBot="1" x14ac:dyDescent="0.35">
      <c r="B12" s="41" t="s">
        <v>78</v>
      </c>
      <c r="C12" s="5" t="s">
        <v>135</v>
      </c>
      <c r="D12" s="5" t="s">
        <v>136</v>
      </c>
      <c r="E12" s="5" t="s">
        <v>137</v>
      </c>
      <c r="F12" s="61" t="s">
        <v>138</v>
      </c>
    </row>
    <row r="13" spans="2:20" ht="18" customHeight="1" thickBot="1" x14ac:dyDescent="0.35">
      <c r="B13" s="85" t="s">
        <v>61</v>
      </c>
      <c r="C13" s="15" t="s">
        <v>139</v>
      </c>
      <c r="D13" s="91">
        <v>43849</v>
      </c>
      <c r="E13" s="78">
        <v>24</v>
      </c>
      <c r="F13" s="115">
        <f>EDATE(D13,E13)-1</f>
        <v>44579</v>
      </c>
      <c r="L13" s="1" t="s">
        <v>140</v>
      </c>
    </row>
    <row r="14" spans="2:20" ht="18" customHeight="1" thickBot="1" x14ac:dyDescent="0.35">
      <c r="B14" s="89" t="s">
        <v>64</v>
      </c>
      <c r="C14" s="23" t="s">
        <v>141</v>
      </c>
      <c r="D14" s="91">
        <v>43905</v>
      </c>
      <c r="E14" s="81">
        <v>12</v>
      </c>
      <c r="F14" s="115">
        <f>EDATE(D14,E14)-1</f>
        <v>44269</v>
      </c>
      <c r="L14" s="41" t="s">
        <v>87</v>
      </c>
      <c r="M14" s="5" t="s">
        <v>5</v>
      </c>
      <c r="N14" s="5" t="s">
        <v>88</v>
      </c>
      <c r="O14" s="5" t="s">
        <v>29</v>
      </c>
      <c r="P14" s="61" t="s">
        <v>89</v>
      </c>
      <c r="R14" s="111" t="s">
        <v>108</v>
      </c>
      <c r="S14" s="111"/>
      <c r="T14" s="5"/>
    </row>
    <row r="15" spans="2:20" ht="18" customHeight="1" x14ac:dyDescent="0.3">
      <c r="B15" s="89" t="s">
        <v>66</v>
      </c>
      <c r="C15" s="23" t="s">
        <v>139</v>
      </c>
      <c r="D15" s="91">
        <v>43976</v>
      </c>
      <c r="E15" s="81">
        <v>24</v>
      </c>
      <c r="F15" s="115">
        <f>EDATE(D15,E15)-1</f>
        <v>44705</v>
      </c>
      <c r="L15" s="96">
        <v>44044</v>
      </c>
      <c r="M15" s="116" t="s">
        <v>33</v>
      </c>
      <c r="N15" s="117">
        <v>3000</v>
      </c>
      <c r="O15" s="117">
        <v>50</v>
      </c>
      <c r="P15" s="117">
        <f>N15*O15</f>
        <v>150000</v>
      </c>
      <c r="R15" s="118" t="s">
        <v>142</v>
      </c>
      <c r="S15" s="118"/>
      <c r="T15" s="67">
        <f>SUMPRODUCT((YEAR($L$15:$L$17)=2020)*($P$15:$P$17))</f>
        <v>280000</v>
      </c>
    </row>
    <row r="16" spans="2:20" ht="18" customHeight="1" x14ac:dyDescent="0.3">
      <c r="L16" s="70">
        <v>44075</v>
      </c>
      <c r="M16" s="23" t="s">
        <v>36</v>
      </c>
      <c r="N16" s="81">
        <v>2000</v>
      </c>
      <c r="O16" s="81">
        <v>50</v>
      </c>
      <c r="P16" s="81">
        <f t="shared" ref="P16:P17" si="0">N16*O16</f>
        <v>100000</v>
      </c>
      <c r="R16" s="118" t="s">
        <v>143</v>
      </c>
      <c r="S16" s="118"/>
      <c r="T16" s="67">
        <f>SUMPRODUCT((YEAR($L$15:$L$17)=2020)*($M$15:$M$17="사과")*($P$15:$P$17))</f>
        <v>180000</v>
      </c>
    </row>
    <row r="17" spans="2:20" ht="18" customHeight="1" thickBot="1" x14ac:dyDescent="0.35">
      <c r="B17" s="1" t="s">
        <v>144</v>
      </c>
      <c r="L17" s="70">
        <v>44109</v>
      </c>
      <c r="M17" s="23" t="s">
        <v>33</v>
      </c>
      <c r="N17" s="81">
        <v>1000</v>
      </c>
      <c r="O17" s="81">
        <v>30</v>
      </c>
      <c r="P17" s="81">
        <f t="shared" si="0"/>
        <v>30000</v>
      </c>
      <c r="R17" s="118" t="s">
        <v>145</v>
      </c>
      <c r="S17" s="118"/>
      <c r="T17" s="67">
        <f>SUMPRODUCT((YEAR($L$15:$L$17)=2020)*($M$15:$M$17="사과")*($O$15:$O$17))</f>
        <v>80</v>
      </c>
    </row>
    <row r="18" spans="2:20" ht="18" customHeight="1" thickBot="1" x14ac:dyDescent="0.35">
      <c r="B18" s="41" t="s">
        <v>78</v>
      </c>
      <c r="C18" s="5" t="s">
        <v>135</v>
      </c>
      <c r="D18" s="5" t="s">
        <v>136</v>
      </c>
      <c r="E18" s="5" t="s">
        <v>137</v>
      </c>
      <c r="F18" s="61" t="s">
        <v>138</v>
      </c>
    </row>
    <row r="19" spans="2:20" ht="18" customHeight="1" thickBot="1" x14ac:dyDescent="0.35">
      <c r="B19" s="85" t="s">
        <v>61</v>
      </c>
      <c r="C19" s="15" t="s">
        <v>139</v>
      </c>
      <c r="D19" s="91">
        <v>43849</v>
      </c>
      <c r="E19" s="78">
        <v>24</v>
      </c>
      <c r="F19" s="115">
        <f>EOMONTH(D19,E19)</f>
        <v>44592</v>
      </c>
      <c r="L19" s="1" t="s">
        <v>146</v>
      </c>
    </row>
    <row r="20" spans="2:20" ht="18" customHeight="1" thickBot="1" x14ac:dyDescent="0.35">
      <c r="B20" s="89" t="s">
        <v>64</v>
      </c>
      <c r="C20" s="23" t="s">
        <v>141</v>
      </c>
      <c r="D20" s="91">
        <v>43905</v>
      </c>
      <c r="E20" s="81">
        <v>12</v>
      </c>
      <c r="F20" s="115">
        <f>EOMONTH(D20,E20)</f>
        <v>44286</v>
      </c>
      <c r="L20" s="41" t="s">
        <v>87</v>
      </c>
      <c r="M20" s="5" t="s">
        <v>5</v>
      </c>
      <c r="N20" s="5" t="s">
        <v>88</v>
      </c>
      <c r="O20" s="5" t="s">
        <v>29</v>
      </c>
      <c r="P20" s="61" t="s">
        <v>89</v>
      </c>
      <c r="R20" s="111" t="s">
        <v>108</v>
      </c>
      <c r="S20" s="111"/>
      <c r="T20" s="5"/>
    </row>
    <row r="21" spans="2:20" ht="18" customHeight="1" x14ac:dyDescent="0.3">
      <c r="B21" s="89" t="s">
        <v>66</v>
      </c>
      <c r="C21" s="23" t="s">
        <v>139</v>
      </c>
      <c r="D21" s="91">
        <v>43976</v>
      </c>
      <c r="E21" s="81">
        <v>24</v>
      </c>
      <c r="F21" s="115">
        <f>EOMONTH(D21,E21)</f>
        <v>44712</v>
      </c>
      <c r="L21" s="96">
        <v>44044</v>
      </c>
      <c r="M21" s="116" t="s">
        <v>33</v>
      </c>
      <c r="N21" s="117">
        <v>3000</v>
      </c>
      <c r="O21" s="117">
        <v>50</v>
      </c>
      <c r="P21" s="117">
        <f>N21*O21</f>
        <v>150000</v>
      </c>
      <c r="R21" s="118" t="s">
        <v>147</v>
      </c>
      <c r="S21" s="118"/>
      <c r="T21" s="67">
        <f>SUMPRODUCT((MONTH($L$21:$L$23)=8)*($P$21:$P$23))</f>
        <v>150000</v>
      </c>
    </row>
    <row r="22" spans="2:20" ht="18" customHeight="1" x14ac:dyDescent="0.3">
      <c r="L22" s="70">
        <v>44075</v>
      </c>
      <c r="M22" s="23" t="s">
        <v>36</v>
      </c>
      <c r="N22" s="81">
        <v>2000</v>
      </c>
      <c r="O22" s="81">
        <v>50</v>
      </c>
      <c r="P22" s="81">
        <f t="shared" ref="P22:P23" si="1">N22*O22</f>
        <v>100000</v>
      </c>
      <c r="R22" s="118" t="s">
        <v>148</v>
      </c>
      <c r="S22" s="118"/>
      <c r="T22" s="67">
        <f>SUMPRODUCT((MONTH($L$21:$L$23)=8)*($M$21:$M$23="사과")*($P$21:$P$23))</f>
        <v>150000</v>
      </c>
    </row>
    <row r="23" spans="2:20" ht="18" customHeight="1" thickBot="1" x14ac:dyDescent="0.35">
      <c r="B23" s="1" t="s">
        <v>149</v>
      </c>
      <c r="L23" s="70">
        <v>44109</v>
      </c>
      <c r="M23" s="23" t="s">
        <v>33</v>
      </c>
      <c r="N23" s="81">
        <v>1000</v>
      </c>
      <c r="O23" s="81">
        <v>30</v>
      </c>
      <c r="P23" s="81">
        <f t="shared" si="1"/>
        <v>30000</v>
      </c>
      <c r="R23" s="118" t="s">
        <v>150</v>
      </c>
      <c r="S23" s="118"/>
      <c r="T23" s="67">
        <f>SUMPRODUCT((MONTH($L$21:$L$23)=9)*(M21:M23="배")*($P$21:$P$23))</f>
        <v>100000</v>
      </c>
    </row>
    <row r="24" spans="2:20" ht="18" customHeight="1" thickBot="1" x14ac:dyDescent="0.35">
      <c r="B24" s="4" t="s">
        <v>56</v>
      </c>
      <c r="C24" s="5" t="s">
        <v>151</v>
      </c>
      <c r="D24" s="5" t="s">
        <v>152</v>
      </c>
      <c r="E24" s="5" t="s">
        <v>153</v>
      </c>
      <c r="F24" s="61" t="s">
        <v>154</v>
      </c>
      <c r="G24" s="61" t="s">
        <v>154</v>
      </c>
      <c r="H24" s="61" t="s">
        <v>155</v>
      </c>
      <c r="I24" s="61" t="s">
        <v>156</v>
      </c>
    </row>
    <row r="25" spans="2:20" ht="18" customHeight="1" x14ac:dyDescent="0.3">
      <c r="B25" s="66" t="s">
        <v>157</v>
      </c>
      <c r="C25" s="15" t="s">
        <v>158</v>
      </c>
      <c r="D25" s="91">
        <v>39490</v>
      </c>
      <c r="E25" s="78"/>
      <c r="F25" s="67">
        <f ca="1">IF($E25="",DATEDIF($D25,TODAY(),"d"),DATEDIF($D25,$E25,"d"))</f>
        <v>5041</v>
      </c>
      <c r="G25" s="67" t="str">
        <f ca="1">TEXT(IF($E25="",DATEDIF($D25,TODAY(),"d"),DATEDIF($D25,$E25,"d")),"##,###")&amp;"일"</f>
        <v>5,041일</v>
      </c>
      <c r="H25" s="67" t="str">
        <f ca="1">IF($E25="",DATEDIF($D25,TODAY(),"M"),DATEDIF($D25,$E25,"m"))&amp;" 개월"</f>
        <v>165 개월</v>
      </c>
      <c r="I25" s="67" t="str">
        <f ca="1">IF($E25="",DATEDIF($D25,TODAY(),"y"),DATEDIF($D25,$E25,"y"))&amp;" 년"</f>
        <v>13 년</v>
      </c>
    </row>
    <row r="26" spans="2:20" ht="18" customHeight="1" x14ac:dyDescent="0.3">
      <c r="B26" s="70" t="s">
        <v>159</v>
      </c>
      <c r="C26" s="23" t="s">
        <v>160</v>
      </c>
      <c r="D26" s="91">
        <v>40983</v>
      </c>
      <c r="E26" s="92">
        <v>43763</v>
      </c>
      <c r="F26" s="67">
        <f ca="1">IF($E26="",DATEDIF($D26,TODAY(),"d"),DATEDIF($D26,$E26,"d"))</f>
        <v>2780</v>
      </c>
      <c r="G26" s="67" t="str">
        <f ca="1">TEXT(IF($E26="",DATEDIF($D26,TODAY(),"d"),DATEDIF($D26,$E26,"d")),"##,###")&amp;"일"</f>
        <v>2,780일</v>
      </c>
      <c r="H26" s="67" t="str">
        <f ca="1">IF($E26="",DATEDIF($D26,TODAY(),"M"),DATEDIF($D26,$E26,"m"))&amp;" 개월"</f>
        <v>91 개월</v>
      </c>
      <c r="I26" s="67" t="str">
        <f ca="1">IF($E26="",DATEDIF($D26,TODAY(),"y"),DATEDIF($D26,$E26,"y"))&amp;" 년"</f>
        <v>7 년</v>
      </c>
    </row>
    <row r="27" spans="2:20" ht="18" customHeight="1" x14ac:dyDescent="0.3">
      <c r="B27" s="70" t="s">
        <v>161</v>
      </c>
      <c r="C27" s="23" t="s">
        <v>162</v>
      </c>
      <c r="D27" s="91">
        <v>43019</v>
      </c>
      <c r="E27" s="81"/>
      <c r="F27" s="67">
        <f ca="1">IF($E27="",DATEDIF($D27,TODAY(),"d"),DATEDIF($D27,$E27,"d"))</f>
        <v>1512</v>
      </c>
      <c r="G27" s="67" t="str">
        <f ca="1">TEXT(IF($E27="",DATEDIF($D27,TODAY(),"d"),DATEDIF($D27,$E27,"d")),"##,###")&amp;"일"</f>
        <v>1,512일</v>
      </c>
      <c r="H27" s="67" t="str">
        <f ca="1">IF($E27="",DATEDIF($D27,TODAY(),"M"),DATEDIF($D27,$E27,"m"))&amp;" 개월"</f>
        <v>49 개월</v>
      </c>
      <c r="I27" s="67" t="str">
        <f ca="1">IF($E27="",DATEDIF($D27,TODAY(),"y"),DATEDIF($D27,$E27,"y"))&amp;" 년"</f>
        <v>4 년</v>
      </c>
    </row>
    <row r="28" spans="2:20" ht="18" customHeight="1" thickBot="1" x14ac:dyDescent="0.35">
      <c r="B28" s="105"/>
      <c r="C28" s="34"/>
      <c r="D28" s="119"/>
      <c r="E28" s="43"/>
      <c r="F28" s="43"/>
      <c r="G28" s="43"/>
      <c r="H28" s="43"/>
      <c r="I28" s="43"/>
    </row>
    <row r="29" spans="2:20" ht="18" customHeight="1" thickBot="1" x14ac:dyDescent="0.35">
      <c r="B29" s="41" t="s">
        <v>57</v>
      </c>
      <c r="C29" s="41" t="s">
        <v>79</v>
      </c>
      <c r="D29" s="5" t="s">
        <v>163</v>
      </c>
      <c r="E29" s="43"/>
      <c r="F29" s="43"/>
      <c r="G29" s="43"/>
      <c r="H29" s="43"/>
      <c r="I29" s="43"/>
    </row>
    <row r="30" spans="2:20" ht="18" customHeight="1" x14ac:dyDescent="0.3">
      <c r="B30" s="120" t="s">
        <v>164</v>
      </c>
      <c r="C30" s="121" t="str">
        <f>IF(OR(MID(B30,8,1)="1",MID(B30,8,1)="2"),19&amp;TEXT(LEFT(B30,6),"00-00-00"),20&amp;TEXT(LEFT(B30,6),"00-00-00"))</f>
        <v>2002-03-11</v>
      </c>
      <c r="D30" s="122">
        <f ca="1">DATEDIF(IF(OR(MID(B30,8,1)="1",MID(B30,8,1)="2"),19&amp;TEXT(LEFT(B30,6),"00-00-00"),20&amp;TEXT(LEFT(B30,6),"00-00-00")),TODAY(),"y")</f>
        <v>19</v>
      </c>
      <c r="E30" s="43"/>
      <c r="F30" s="43"/>
      <c r="G30" s="43"/>
      <c r="H30" s="43"/>
      <c r="I30" s="43"/>
    </row>
    <row r="31" spans="2:20" ht="18" customHeight="1" x14ac:dyDescent="0.3">
      <c r="B31" s="70" t="s">
        <v>165</v>
      </c>
      <c r="C31" s="123" t="str">
        <f>IF(OR(MID(B31,8,1)="1",MID(B31,8,1)="2"),19&amp;TEXT(LEFT(B31,6),"00-00-00"),20&amp;TEXT(LEFT(B31,6),"00-00-00"))</f>
        <v>1983-10-06</v>
      </c>
      <c r="D31" s="124">
        <f ca="1">DATEDIF(IF(OR(MID(B31,8,1)="1",MID(B31,8,1)="2"),19&amp;TEXT(LEFT(B31,6),"00-00-00"),20&amp;TEXT(LEFT(B31,6),"00-00-00")),TODAY(),"y")</f>
        <v>38</v>
      </c>
      <c r="E31" s="43"/>
      <c r="F31" s="43"/>
      <c r="G31" s="43"/>
      <c r="H31" s="43"/>
      <c r="I31" s="43"/>
    </row>
  </sheetData>
  <mergeCells count="14">
    <mergeCell ref="R22:S22"/>
    <mergeCell ref="R23:S23"/>
    <mergeCell ref="R14:S14"/>
    <mergeCell ref="R15:S15"/>
    <mergeCell ref="R16:S16"/>
    <mergeCell ref="R17:S17"/>
    <mergeCell ref="R20:S20"/>
    <mergeCell ref="R21:S21"/>
    <mergeCell ref="M4:O4"/>
    <mergeCell ref="M5:O5"/>
    <mergeCell ref="L10:M10"/>
    <mergeCell ref="N10:Q10"/>
    <mergeCell ref="L11:M11"/>
    <mergeCell ref="N11:Q11"/>
  </mergeCells>
  <phoneticPr fontId="3" type="noConversion"/>
  <pageMargins left="0.7" right="0.7" top="0.75" bottom="0.75" header="0.3" footer="0.3"/>
  <pageSetup paperSize="9"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30D-D4D7-408E-A724-4D691DB915B2}">
  <dimension ref="B2:J18"/>
  <sheetViews>
    <sheetView showGridLines="0" zoomScale="85" zoomScaleNormal="85" workbookViewId="0">
      <selection activeCell="E30" sqref="E30"/>
    </sheetView>
  </sheetViews>
  <sheetFormatPr defaultRowHeight="18" customHeight="1" x14ac:dyDescent="0.3"/>
  <cols>
    <col min="1" max="1" width="2" style="2" customWidth="1"/>
    <col min="2" max="2" width="13.875" style="2" customWidth="1"/>
    <col min="3" max="3" width="13.25" style="2" customWidth="1"/>
    <col min="4" max="4" width="15.375" style="2" customWidth="1"/>
    <col min="5" max="13" width="12.25" style="2" customWidth="1"/>
    <col min="14" max="256" width="9" style="2"/>
    <col min="257" max="257" width="2" style="2" customWidth="1"/>
    <col min="258" max="258" width="13.875" style="2" customWidth="1"/>
    <col min="259" max="259" width="13.25" style="2" customWidth="1"/>
    <col min="260" max="260" width="15.375" style="2" customWidth="1"/>
    <col min="261" max="269" width="12.25" style="2" customWidth="1"/>
    <col min="270" max="512" width="9" style="2"/>
    <col min="513" max="513" width="2" style="2" customWidth="1"/>
    <col min="514" max="514" width="13.875" style="2" customWidth="1"/>
    <col min="515" max="515" width="13.25" style="2" customWidth="1"/>
    <col min="516" max="516" width="15.375" style="2" customWidth="1"/>
    <col min="517" max="525" width="12.25" style="2" customWidth="1"/>
    <col min="526" max="768" width="9" style="2"/>
    <col min="769" max="769" width="2" style="2" customWidth="1"/>
    <col min="770" max="770" width="13.875" style="2" customWidth="1"/>
    <col min="771" max="771" width="13.25" style="2" customWidth="1"/>
    <col min="772" max="772" width="15.375" style="2" customWidth="1"/>
    <col min="773" max="781" width="12.25" style="2" customWidth="1"/>
    <col min="782" max="1024" width="9" style="2"/>
    <col min="1025" max="1025" width="2" style="2" customWidth="1"/>
    <col min="1026" max="1026" width="13.875" style="2" customWidth="1"/>
    <col min="1027" max="1027" width="13.25" style="2" customWidth="1"/>
    <col min="1028" max="1028" width="15.375" style="2" customWidth="1"/>
    <col min="1029" max="1037" width="12.25" style="2" customWidth="1"/>
    <col min="1038" max="1280" width="9" style="2"/>
    <col min="1281" max="1281" width="2" style="2" customWidth="1"/>
    <col min="1282" max="1282" width="13.875" style="2" customWidth="1"/>
    <col min="1283" max="1283" width="13.25" style="2" customWidth="1"/>
    <col min="1284" max="1284" width="15.375" style="2" customWidth="1"/>
    <col min="1285" max="1293" width="12.25" style="2" customWidth="1"/>
    <col min="1294" max="1536" width="9" style="2"/>
    <col min="1537" max="1537" width="2" style="2" customWidth="1"/>
    <col min="1538" max="1538" width="13.875" style="2" customWidth="1"/>
    <col min="1539" max="1539" width="13.25" style="2" customWidth="1"/>
    <col min="1540" max="1540" width="15.375" style="2" customWidth="1"/>
    <col min="1541" max="1549" width="12.25" style="2" customWidth="1"/>
    <col min="1550" max="1792" width="9" style="2"/>
    <col min="1793" max="1793" width="2" style="2" customWidth="1"/>
    <col min="1794" max="1794" width="13.875" style="2" customWidth="1"/>
    <col min="1795" max="1795" width="13.25" style="2" customWidth="1"/>
    <col min="1796" max="1796" width="15.375" style="2" customWidth="1"/>
    <col min="1797" max="1805" width="12.25" style="2" customWidth="1"/>
    <col min="1806" max="2048" width="9" style="2"/>
    <col min="2049" max="2049" width="2" style="2" customWidth="1"/>
    <col min="2050" max="2050" width="13.875" style="2" customWidth="1"/>
    <col min="2051" max="2051" width="13.25" style="2" customWidth="1"/>
    <col min="2052" max="2052" width="15.375" style="2" customWidth="1"/>
    <col min="2053" max="2061" width="12.25" style="2" customWidth="1"/>
    <col min="2062" max="2304" width="9" style="2"/>
    <col min="2305" max="2305" width="2" style="2" customWidth="1"/>
    <col min="2306" max="2306" width="13.875" style="2" customWidth="1"/>
    <col min="2307" max="2307" width="13.25" style="2" customWidth="1"/>
    <col min="2308" max="2308" width="15.375" style="2" customWidth="1"/>
    <col min="2309" max="2317" width="12.25" style="2" customWidth="1"/>
    <col min="2318" max="2560" width="9" style="2"/>
    <col min="2561" max="2561" width="2" style="2" customWidth="1"/>
    <col min="2562" max="2562" width="13.875" style="2" customWidth="1"/>
    <col min="2563" max="2563" width="13.25" style="2" customWidth="1"/>
    <col min="2564" max="2564" width="15.375" style="2" customWidth="1"/>
    <col min="2565" max="2573" width="12.25" style="2" customWidth="1"/>
    <col min="2574" max="2816" width="9" style="2"/>
    <col min="2817" max="2817" width="2" style="2" customWidth="1"/>
    <col min="2818" max="2818" width="13.875" style="2" customWidth="1"/>
    <col min="2819" max="2819" width="13.25" style="2" customWidth="1"/>
    <col min="2820" max="2820" width="15.375" style="2" customWidth="1"/>
    <col min="2821" max="2829" width="12.25" style="2" customWidth="1"/>
    <col min="2830" max="3072" width="9" style="2"/>
    <col min="3073" max="3073" width="2" style="2" customWidth="1"/>
    <col min="3074" max="3074" width="13.875" style="2" customWidth="1"/>
    <col min="3075" max="3075" width="13.25" style="2" customWidth="1"/>
    <col min="3076" max="3076" width="15.375" style="2" customWidth="1"/>
    <col min="3077" max="3085" width="12.25" style="2" customWidth="1"/>
    <col min="3086" max="3328" width="9" style="2"/>
    <col min="3329" max="3329" width="2" style="2" customWidth="1"/>
    <col min="3330" max="3330" width="13.875" style="2" customWidth="1"/>
    <col min="3331" max="3331" width="13.25" style="2" customWidth="1"/>
    <col min="3332" max="3332" width="15.375" style="2" customWidth="1"/>
    <col min="3333" max="3341" width="12.25" style="2" customWidth="1"/>
    <col min="3342" max="3584" width="9" style="2"/>
    <col min="3585" max="3585" width="2" style="2" customWidth="1"/>
    <col min="3586" max="3586" width="13.875" style="2" customWidth="1"/>
    <col min="3587" max="3587" width="13.25" style="2" customWidth="1"/>
    <col min="3588" max="3588" width="15.375" style="2" customWidth="1"/>
    <col min="3589" max="3597" width="12.25" style="2" customWidth="1"/>
    <col min="3598" max="3840" width="9" style="2"/>
    <col min="3841" max="3841" width="2" style="2" customWidth="1"/>
    <col min="3842" max="3842" width="13.875" style="2" customWidth="1"/>
    <col min="3843" max="3843" width="13.25" style="2" customWidth="1"/>
    <col min="3844" max="3844" width="15.375" style="2" customWidth="1"/>
    <col min="3845" max="3853" width="12.25" style="2" customWidth="1"/>
    <col min="3854" max="4096" width="9" style="2"/>
    <col min="4097" max="4097" width="2" style="2" customWidth="1"/>
    <col min="4098" max="4098" width="13.875" style="2" customWidth="1"/>
    <col min="4099" max="4099" width="13.25" style="2" customWidth="1"/>
    <col min="4100" max="4100" width="15.375" style="2" customWidth="1"/>
    <col min="4101" max="4109" width="12.25" style="2" customWidth="1"/>
    <col min="4110" max="4352" width="9" style="2"/>
    <col min="4353" max="4353" width="2" style="2" customWidth="1"/>
    <col min="4354" max="4354" width="13.875" style="2" customWidth="1"/>
    <col min="4355" max="4355" width="13.25" style="2" customWidth="1"/>
    <col min="4356" max="4356" width="15.375" style="2" customWidth="1"/>
    <col min="4357" max="4365" width="12.25" style="2" customWidth="1"/>
    <col min="4366" max="4608" width="9" style="2"/>
    <col min="4609" max="4609" width="2" style="2" customWidth="1"/>
    <col min="4610" max="4610" width="13.875" style="2" customWidth="1"/>
    <col min="4611" max="4611" width="13.25" style="2" customWidth="1"/>
    <col min="4612" max="4612" width="15.375" style="2" customWidth="1"/>
    <col min="4613" max="4621" width="12.25" style="2" customWidth="1"/>
    <col min="4622" max="4864" width="9" style="2"/>
    <col min="4865" max="4865" width="2" style="2" customWidth="1"/>
    <col min="4866" max="4866" width="13.875" style="2" customWidth="1"/>
    <col min="4867" max="4867" width="13.25" style="2" customWidth="1"/>
    <col min="4868" max="4868" width="15.375" style="2" customWidth="1"/>
    <col min="4869" max="4877" width="12.25" style="2" customWidth="1"/>
    <col min="4878" max="5120" width="9" style="2"/>
    <col min="5121" max="5121" width="2" style="2" customWidth="1"/>
    <col min="5122" max="5122" width="13.875" style="2" customWidth="1"/>
    <col min="5123" max="5123" width="13.25" style="2" customWidth="1"/>
    <col min="5124" max="5124" width="15.375" style="2" customWidth="1"/>
    <col min="5125" max="5133" width="12.25" style="2" customWidth="1"/>
    <col min="5134" max="5376" width="9" style="2"/>
    <col min="5377" max="5377" width="2" style="2" customWidth="1"/>
    <col min="5378" max="5378" width="13.875" style="2" customWidth="1"/>
    <col min="5379" max="5379" width="13.25" style="2" customWidth="1"/>
    <col min="5380" max="5380" width="15.375" style="2" customWidth="1"/>
    <col min="5381" max="5389" width="12.25" style="2" customWidth="1"/>
    <col min="5390" max="5632" width="9" style="2"/>
    <col min="5633" max="5633" width="2" style="2" customWidth="1"/>
    <col min="5634" max="5634" width="13.875" style="2" customWidth="1"/>
    <col min="5635" max="5635" width="13.25" style="2" customWidth="1"/>
    <col min="5636" max="5636" width="15.375" style="2" customWidth="1"/>
    <col min="5637" max="5645" width="12.25" style="2" customWidth="1"/>
    <col min="5646" max="5888" width="9" style="2"/>
    <col min="5889" max="5889" width="2" style="2" customWidth="1"/>
    <col min="5890" max="5890" width="13.875" style="2" customWidth="1"/>
    <col min="5891" max="5891" width="13.25" style="2" customWidth="1"/>
    <col min="5892" max="5892" width="15.375" style="2" customWidth="1"/>
    <col min="5893" max="5901" width="12.25" style="2" customWidth="1"/>
    <col min="5902" max="6144" width="9" style="2"/>
    <col min="6145" max="6145" width="2" style="2" customWidth="1"/>
    <col min="6146" max="6146" width="13.875" style="2" customWidth="1"/>
    <col min="6147" max="6147" width="13.25" style="2" customWidth="1"/>
    <col min="6148" max="6148" width="15.375" style="2" customWidth="1"/>
    <col min="6149" max="6157" width="12.25" style="2" customWidth="1"/>
    <col min="6158" max="6400" width="9" style="2"/>
    <col min="6401" max="6401" width="2" style="2" customWidth="1"/>
    <col min="6402" max="6402" width="13.875" style="2" customWidth="1"/>
    <col min="6403" max="6403" width="13.25" style="2" customWidth="1"/>
    <col min="6404" max="6404" width="15.375" style="2" customWidth="1"/>
    <col min="6405" max="6413" width="12.25" style="2" customWidth="1"/>
    <col min="6414" max="6656" width="9" style="2"/>
    <col min="6657" max="6657" width="2" style="2" customWidth="1"/>
    <col min="6658" max="6658" width="13.875" style="2" customWidth="1"/>
    <col min="6659" max="6659" width="13.25" style="2" customWidth="1"/>
    <col min="6660" max="6660" width="15.375" style="2" customWidth="1"/>
    <col min="6661" max="6669" width="12.25" style="2" customWidth="1"/>
    <col min="6670" max="6912" width="9" style="2"/>
    <col min="6913" max="6913" width="2" style="2" customWidth="1"/>
    <col min="6914" max="6914" width="13.875" style="2" customWidth="1"/>
    <col min="6915" max="6915" width="13.25" style="2" customWidth="1"/>
    <col min="6916" max="6916" width="15.375" style="2" customWidth="1"/>
    <col min="6917" max="6925" width="12.25" style="2" customWidth="1"/>
    <col min="6926" max="7168" width="9" style="2"/>
    <col min="7169" max="7169" width="2" style="2" customWidth="1"/>
    <col min="7170" max="7170" width="13.875" style="2" customWidth="1"/>
    <col min="7171" max="7171" width="13.25" style="2" customWidth="1"/>
    <col min="7172" max="7172" width="15.375" style="2" customWidth="1"/>
    <col min="7173" max="7181" width="12.25" style="2" customWidth="1"/>
    <col min="7182" max="7424" width="9" style="2"/>
    <col min="7425" max="7425" width="2" style="2" customWidth="1"/>
    <col min="7426" max="7426" width="13.875" style="2" customWidth="1"/>
    <col min="7427" max="7427" width="13.25" style="2" customWidth="1"/>
    <col min="7428" max="7428" width="15.375" style="2" customWidth="1"/>
    <col min="7429" max="7437" width="12.25" style="2" customWidth="1"/>
    <col min="7438" max="7680" width="9" style="2"/>
    <col min="7681" max="7681" width="2" style="2" customWidth="1"/>
    <col min="7682" max="7682" width="13.875" style="2" customWidth="1"/>
    <col min="7683" max="7683" width="13.25" style="2" customWidth="1"/>
    <col min="7684" max="7684" width="15.375" style="2" customWidth="1"/>
    <col min="7685" max="7693" width="12.25" style="2" customWidth="1"/>
    <col min="7694" max="7936" width="9" style="2"/>
    <col min="7937" max="7937" width="2" style="2" customWidth="1"/>
    <col min="7938" max="7938" width="13.875" style="2" customWidth="1"/>
    <col min="7939" max="7939" width="13.25" style="2" customWidth="1"/>
    <col min="7940" max="7940" width="15.375" style="2" customWidth="1"/>
    <col min="7941" max="7949" width="12.25" style="2" customWidth="1"/>
    <col min="7950" max="8192" width="9" style="2"/>
    <col min="8193" max="8193" width="2" style="2" customWidth="1"/>
    <col min="8194" max="8194" width="13.875" style="2" customWidth="1"/>
    <col min="8195" max="8195" width="13.25" style="2" customWidth="1"/>
    <col min="8196" max="8196" width="15.375" style="2" customWidth="1"/>
    <col min="8197" max="8205" width="12.25" style="2" customWidth="1"/>
    <col min="8206" max="8448" width="9" style="2"/>
    <col min="8449" max="8449" width="2" style="2" customWidth="1"/>
    <col min="8450" max="8450" width="13.875" style="2" customWidth="1"/>
    <col min="8451" max="8451" width="13.25" style="2" customWidth="1"/>
    <col min="8452" max="8452" width="15.375" style="2" customWidth="1"/>
    <col min="8453" max="8461" width="12.25" style="2" customWidth="1"/>
    <col min="8462" max="8704" width="9" style="2"/>
    <col min="8705" max="8705" width="2" style="2" customWidth="1"/>
    <col min="8706" max="8706" width="13.875" style="2" customWidth="1"/>
    <col min="8707" max="8707" width="13.25" style="2" customWidth="1"/>
    <col min="8708" max="8708" width="15.375" style="2" customWidth="1"/>
    <col min="8709" max="8717" width="12.25" style="2" customWidth="1"/>
    <col min="8718" max="8960" width="9" style="2"/>
    <col min="8961" max="8961" width="2" style="2" customWidth="1"/>
    <col min="8962" max="8962" width="13.875" style="2" customWidth="1"/>
    <col min="8963" max="8963" width="13.25" style="2" customWidth="1"/>
    <col min="8964" max="8964" width="15.375" style="2" customWidth="1"/>
    <col min="8965" max="8973" width="12.25" style="2" customWidth="1"/>
    <col min="8974" max="9216" width="9" style="2"/>
    <col min="9217" max="9217" width="2" style="2" customWidth="1"/>
    <col min="9218" max="9218" width="13.875" style="2" customWidth="1"/>
    <col min="9219" max="9219" width="13.25" style="2" customWidth="1"/>
    <col min="9220" max="9220" width="15.375" style="2" customWidth="1"/>
    <col min="9221" max="9229" width="12.25" style="2" customWidth="1"/>
    <col min="9230" max="9472" width="9" style="2"/>
    <col min="9473" max="9473" width="2" style="2" customWidth="1"/>
    <col min="9474" max="9474" width="13.875" style="2" customWidth="1"/>
    <col min="9475" max="9475" width="13.25" style="2" customWidth="1"/>
    <col min="9476" max="9476" width="15.375" style="2" customWidth="1"/>
    <col min="9477" max="9485" width="12.25" style="2" customWidth="1"/>
    <col min="9486" max="9728" width="9" style="2"/>
    <col min="9729" max="9729" width="2" style="2" customWidth="1"/>
    <col min="9730" max="9730" width="13.875" style="2" customWidth="1"/>
    <col min="9731" max="9731" width="13.25" style="2" customWidth="1"/>
    <col min="9732" max="9732" width="15.375" style="2" customWidth="1"/>
    <col min="9733" max="9741" width="12.25" style="2" customWidth="1"/>
    <col min="9742" max="9984" width="9" style="2"/>
    <col min="9985" max="9985" width="2" style="2" customWidth="1"/>
    <col min="9986" max="9986" width="13.875" style="2" customWidth="1"/>
    <col min="9987" max="9987" width="13.25" style="2" customWidth="1"/>
    <col min="9988" max="9988" width="15.375" style="2" customWidth="1"/>
    <col min="9989" max="9997" width="12.25" style="2" customWidth="1"/>
    <col min="9998" max="10240" width="9" style="2"/>
    <col min="10241" max="10241" width="2" style="2" customWidth="1"/>
    <col min="10242" max="10242" width="13.875" style="2" customWidth="1"/>
    <col min="10243" max="10243" width="13.25" style="2" customWidth="1"/>
    <col min="10244" max="10244" width="15.375" style="2" customWidth="1"/>
    <col min="10245" max="10253" width="12.25" style="2" customWidth="1"/>
    <col min="10254" max="10496" width="9" style="2"/>
    <col min="10497" max="10497" width="2" style="2" customWidth="1"/>
    <col min="10498" max="10498" width="13.875" style="2" customWidth="1"/>
    <col min="10499" max="10499" width="13.25" style="2" customWidth="1"/>
    <col min="10500" max="10500" width="15.375" style="2" customWidth="1"/>
    <col min="10501" max="10509" width="12.25" style="2" customWidth="1"/>
    <col min="10510" max="10752" width="9" style="2"/>
    <col min="10753" max="10753" width="2" style="2" customWidth="1"/>
    <col min="10754" max="10754" width="13.875" style="2" customWidth="1"/>
    <col min="10755" max="10755" width="13.25" style="2" customWidth="1"/>
    <col min="10756" max="10756" width="15.375" style="2" customWidth="1"/>
    <col min="10757" max="10765" width="12.25" style="2" customWidth="1"/>
    <col min="10766" max="11008" width="9" style="2"/>
    <col min="11009" max="11009" width="2" style="2" customWidth="1"/>
    <col min="11010" max="11010" width="13.875" style="2" customWidth="1"/>
    <col min="11011" max="11011" width="13.25" style="2" customWidth="1"/>
    <col min="11012" max="11012" width="15.375" style="2" customWidth="1"/>
    <col min="11013" max="11021" width="12.25" style="2" customWidth="1"/>
    <col min="11022" max="11264" width="9" style="2"/>
    <col min="11265" max="11265" width="2" style="2" customWidth="1"/>
    <col min="11266" max="11266" width="13.875" style="2" customWidth="1"/>
    <col min="11267" max="11267" width="13.25" style="2" customWidth="1"/>
    <col min="11268" max="11268" width="15.375" style="2" customWidth="1"/>
    <col min="11269" max="11277" width="12.25" style="2" customWidth="1"/>
    <col min="11278" max="11520" width="9" style="2"/>
    <col min="11521" max="11521" width="2" style="2" customWidth="1"/>
    <col min="11522" max="11522" width="13.875" style="2" customWidth="1"/>
    <col min="11523" max="11523" width="13.25" style="2" customWidth="1"/>
    <col min="11524" max="11524" width="15.375" style="2" customWidth="1"/>
    <col min="11525" max="11533" width="12.25" style="2" customWidth="1"/>
    <col min="11534" max="11776" width="9" style="2"/>
    <col min="11777" max="11777" width="2" style="2" customWidth="1"/>
    <col min="11778" max="11778" width="13.875" style="2" customWidth="1"/>
    <col min="11779" max="11779" width="13.25" style="2" customWidth="1"/>
    <col min="11780" max="11780" width="15.375" style="2" customWidth="1"/>
    <col min="11781" max="11789" width="12.25" style="2" customWidth="1"/>
    <col min="11790" max="12032" width="9" style="2"/>
    <col min="12033" max="12033" width="2" style="2" customWidth="1"/>
    <col min="12034" max="12034" width="13.875" style="2" customWidth="1"/>
    <col min="12035" max="12035" width="13.25" style="2" customWidth="1"/>
    <col min="12036" max="12036" width="15.375" style="2" customWidth="1"/>
    <col min="12037" max="12045" width="12.25" style="2" customWidth="1"/>
    <col min="12046" max="12288" width="9" style="2"/>
    <col min="12289" max="12289" width="2" style="2" customWidth="1"/>
    <col min="12290" max="12290" width="13.875" style="2" customWidth="1"/>
    <col min="12291" max="12291" width="13.25" style="2" customWidth="1"/>
    <col min="12292" max="12292" width="15.375" style="2" customWidth="1"/>
    <col min="12293" max="12301" width="12.25" style="2" customWidth="1"/>
    <col min="12302" max="12544" width="9" style="2"/>
    <col min="12545" max="12545" width="2" style="2" customWidth="1"/>
    <col min="12546" max="12546" width="13.875" style="2" customWidth="1"/>
    <col min="12547" max="12547" width="13.25" style="2" customWidth="1"/>
    <col min="12548" max="12548" width="15.375" style="2" customWidth="1"/>
    <col min="12549" max="12557" width="12.25" style="2" customWidth="1"/>
    <col min="12558" max="12800" width="9" style="2"/>
    <col min="12801" max="12801" width="2" style="2" customWidth="1"/>
    <col min="12802" max="12802" width="13.875" style="2" customWidth="1"/>
    <col min="12803" max="12803" width="13.25" style="2" customWidth="1"/>
    <col min="12804" max="12804" width="15.375" style="2" customWidth="1"/>
    <col min="12805" max="12813" width="12.25" style="2" customWidth="1"/>
    <col min="12814" max="13056" width="9" style="2"/>
    <col min="13057" max="13057" width="2" style="2" customWidth="1"/>
    <col min="13058" max="13058" width="13.875" style="2" customWidth="1"/>
    <col min="13059" max="13059" width="13.25" style="2" customWidth="1"/>
    <col min="13060" max="13060" width="15.375" style="2" customWidth="1"/>
    <col min="13061" max="13069" width="12.25" style="2" customWidth="1"/>
    <col min="13070" max="13312" width="9" style="2"/>
    <col min="13313" max="13313" width="2" style="2" customWidth="1"/>
    <col min="13314" max="13314" width="13.875" style="2" customWidth="1"/>
    <col min="13315" max="13315" width="13.25" style="2" customWidth="1"/>
    <col min="13316" max="13316" width="15.375" style="2" customWidth="1"/>
    <col min="13317" max="13325" width="12.25" style="2" customWidth="1"/>
    <col min="13326" max="13568" width="9" style="2"/>
    <col min="13569" max="13569" width="2" style="2" customWidth="1"/>
    <col min="13570" max="13570" width="13.875" style="2" customWidth="1"/>
    <col min="13571" max="13571" width="13.25" style="2" customWidth="1"/>
    <col min="13572" max="13572" width="15.375" style="2" customWidth="1"/>
    <col min="13573" max="13581" width="12.25" style="2" customWidth="1"/>
    <col min="13582" max="13824" width="9" style="2"/>
    <col min="13825" max="13825" width="2" style="2" customWidth="1"/>
    <col min="13826" max="13826" width="13.875" style="2" customWidth="1"/>
    <col min="13827" max="13827" width="13.25" style="2" customWidth="1"/>
    <col min="13828" max="13828" width="15.375" style="2" customWidth="1"/>
    <col min="13829" max="13837" width="12.25" style="2" customWidth="1"/>
    <col min="13838" max="14080" width="9" style="2"/>
    <col min="14081" max="14081" width="2" style="2" customWidth="1"/>
    <col min="14082" max="14082" width="13.875" style="2" customWidth="1"/>
    <col min="14083" max="14083" width="13.25" style="2" customWidth="1"/>
    <col min="14084" max="14084" width="15.375" style="2" customWidth="1"/>
    <col min="14085" max="14093" width="12.25" style="2" customWidth="1"/>
    <col min="14094" max="14336" width="9" style="2"/>
    <col min="14337" max="14337" width="2" style="2" customWidth="1"/>
    <col min="14338" max="14338" width="13.875" style="2" customWidth="1"/>
    <col min="14339" max="14339" width="13.25" style="2" customWidth="1"/>
    <col min="14340" max="14340" width="15.375" style="2" customWidth="1"/>
    <col min="14341" max="14349" width="12.25" style="2" customWidth="1"/>
    <col min="14350" max="14592" width="9" style="2"/>
    <col min="14593" max="14593" width="2" style="2" customWidth="1"/>
    <col min="14594" max="14594" width="13.875" style="2" customWidth="1"/>
    <col min="14595" max="14595" width="13.25" style="2" customWidth="1"/>
    <col min="14596" max="14596" width="15.375" style="2" customWidth="1"/>
    <col min="14597" max="14605" width="12.25" style="2" customWidth="1"/>
    <col min="14606" max="14848" width="9" style="2"/>
    <col min="14849" max="14849" width="2" style="2" customWidth="1"/>
    <col min="14850" max="14850" width="13.875" style="2" customWidth="1"/>
    <col min="14851" max="14851" width="13.25" style="2" customWidth="1"/>
    <col min="14852" max="14852" width="15.375" style="2" customWidth="1"/>
    <col min="14853" max="14861" width="12.25" style="2" customWidth="1"/>
    <col min="14862" max="15104" width="9" style="2"/>
    <col min="15105" max="15105" width="2" style="2" customWidth="1"/>
    <col min="15106" max="15106" width="13.875" style="2" customWidth="1"/>
    <col min="15107" max="15107" width="13.25" style="2" customWidth="1"/>
    <col min="15108" max="15108" width="15.375" style="2" customWidth="1"/>
    <col min="15109" max="15117" width="12.25" style="2" customWidth="1"/>
    <col min="15118" max="15360" width="9" style="2"/>
    <col min="15361" max="15361" width="2" style="2" customWidth="1"/>
    <col min="15362" max="15362" width="13.875" style="2" customWidth="1"/>
    <col min="15363" max="15363" width="13.25" style="2" customWidth="1"/>
    <col min="15364" max="15364" width="15.375" style="2" customWidth="1"/>
    <col min="15365" max="15373" width="12.25" style="2" customWidth="1"/>
    <col min="15374" max="15616" width="9" style="2"/>
    <col min="15617" max="15617" width="2" style="2" customWidth="1"/>
    <col min="15618" max="15618" width="13.875" style="2" customWidth="1"/>
    <col min="15619" max="15619" width="13.25" style="2" customWidth="1"/>
    <col min="15620" max="15620" width="15.375" style="2" customWidth="1"/>
    <col min="15621" max="15629" width="12.25" style="2" customWidth="1"/>
    <col min="15630" max="15872" width="9" style="2"/>
    <col min="15873" max="15873" width="2" style="2" customWidth="1"/>
    <col min="15874" max="15874" width="13.875" style="2" customWidth="1"/>
    <col min="15875" max="15875" width="13.25" style="2" customWidth="1"/>
    <col min="15876" max="15876" width="15.375" style="2" customWidth="1"/>
    <col min="15877" max="15885" width="12.25" style="2" customWidth="1"/>
    <col min="15886" max="16128" width="9" style="2"/>
    <col min="16129" max="16129" width="2" style="2" customWidth="1"/>
    <col min="16130" max="16130" width="13.875" style="2" customWidth="1"/>
    <col min="16131" max="16131" width="13.25" style="2" customWidth="1"/>
    <col min="16132" max="16132" width="15.375" style="2" customWidth="1"/>
    <col min="16133" max="16141" width="12.25" style="2" customWidth="1"/>
    <col min="16142" max="16384" width="9" style="2"/>
  </cols>
  <sheetData>
    <row r="2" spans="2:10" ht="18" customHeight="1" thickBot="1" x14ac:dyDescent="0.35">
      <c r="B2" s="125" t="s">
        <v>166</v>
      </c>
    </row>
    <row r="3" spans="2:10" ht="18" customHeight="1" thickBot="1" x14ac:dyDescent="0.35">
      <c r="B3" s="4" t="s">
        <v>56</v>
      </c>
      <c r="C3" s="5" t="s">
        <v>151</v>
      </c>
      <c r="D3" s="5" t="s">
        <v>167</v>
      </c>
      <c r="E3" s="5" t="s">
        <v>168</v>
      </c>
      <c r="F3" s="61" t="s">
        <v>169</v>
      </c>
      <c r="H3" s="111" t="s">
        <v>108</v>
      </c>
      <c r="I3" s="111"/>
      <c r="J3" s="5" t="s">
        <v>170</v>
      </c>
    </row>
    <row r="4" spans="2:10" ht="18" customHeight="1" x14ac:dyDescent="0.3">
      <c r="B4" s="66" t="s">
        <v>171</v>
      </c>
      <c r="C4" s="15" t="s">
        <v>172</v>
      </c>
      <c r="D4" s="78">
        <v>100000</v>
      </c>
      <c r="E4" s="78">
        <v>100000</v>
      </c>
      <c r="F4" s="78" t="s">
        <v>173</v>
      </c>
      <c r="H4" s="126" t="s">
        <v>174</v>
      </c>
      <c r="I4" s="126"/>
      <c r="J4" s="127">
        <f>COUNT(E4:E6)</f>
        <v>2</v>
      </c>
    </row>
    <row r="5" spans="2:10" ht="18" customHeight="1" x14ac:dyDescent="0.3">
      <c r="B5" s="70" t="s">
        <v>175</v>
      </c>
      <c r="C5" s="23" t="s">
        <v>176</v>
      </c>
      <c r="D5" s="78">
        <v>40000</v>
      </c>
      <c r="E5" s="81"/>
      <c r="F5" s="78" t="s">
        <v>173</v>
      </c>
      <c r="H5" s="128" t="s">
        <v>177</v>
      </c>
      <c r="I5" s="128"/>
      <c r="J5" s="129">
        <f>COUNT(D4:D6)</f>
        <v>3</v>
      </c>
    </row>
    <row r="6" spans="2:10" ht="18" customHeight="1" x14ac:dyDescent="0.3">
      <c r="B6" s="70" t="s">
        <v>178</v>
      </c>
      <c r="C6" s="23" t="s">
        <v>179</v>
      </c>
      <c r="D6" s="78">
        <v>30000</v>
      </c>
      <c r="E6" s="81">
        <v>30000</v>
      </c>
      <c r="F6" s="78" t="s">
        <v>180</v>
      </c>
      <c r="H6" s="130"/>
      <c r="I6" s="130"/>
      <c r="J6" s="131"/>
    </row>
    <row r="7" spans="2:10" ht="18" customHeight="1" x14ac:dyDescent="0.3">
      <c r="B7" s="132"/>
    </row>
    <row r="8" spans="2:10" ht="18" customHeight="1" thickBot="1" x14ac:dyDescent="0.35">
      <c r="B8" s="125" t="s">
        <v>181</v>
      </c>
    </row>
    <row r="9" spans="2:10" ht="18" customHeight="1" thickBot="1" x14ac:dyDescent="0.35">
      <c r="B9" s="4" t="s">
        <v>56</v>
      </c>
      <c r="C9" s="5" t="s">
        <v>151</v>
      </c>
      <c r="D9" s="5" t="s">
        <v>167</v>
      </c>
      <c r="E9" s="5" t="s">
        <v>168</v>
      </c>
      <c r="F9" s="61" t="s">
        <v>169</v>
      </c>
      <c r="H9" s="111" t="s">
        <v>108</v>
      </c>
      <c r="I9" s="111"/>
      <c r="J9" s="5" t="s">
        <v>170</v>
      </c>
    </row>
    <row r="10" spans="2:10" ht="18" customHeight="1" x14ac:dyDescent="0.3">
      <c r="B10" s="66" t="s">
        <v>171</v>
      </c>
      <c r="C10" s="15" t="s">
        <v>172</v>
      </c>
      <c r="D10" s="78">
        <v>100000</v>
      </c>
      <c r="E10" s="78">
        <v>100000</v>
      </c>
      <c r="F10" s="78" t="s">
        <v>173</v>
      </c>
      <c r="H10" s="126" t="s">
        <v>182</v>
      </c>
      <c r="I10" s="126"/>
      <c r="J10" s="127">
        <f>COUNTIF(F10:F12,"참석")</f>
        <v>2</v>
      </c>
    </row>
    <row r="11" spans="2:10" ht="18" customHeight="1" x14ac:dyDescent="0.3">
      <c r="B11" s="70" t="s">
        <v>175</v>
      </c>
      <c r="C11" s="23" t="s">
        <v>176</v>
      </c>
      <c r="D11" s="78">
        <v>40000</v>
      </c>
      <c r="E11" s="81"/>
      <c r="F11" s="78" t="s">
        <v>173</v>
      </c>
      <c r="H11" s="128" t="s">
        <v>183</v>
      </c>
      <c r="I11" s="128"/>
      <c r="J11" s="129">
        <f>COUNTIF(F10:F12,"불참")</f>
        <v>1</v>
      </c>
    </row>
    <row r="12" spans="2:10" ht="18" customHeight="1" x14ac:dyDescent="0.3">
      <c r="B12" s="70" t="s">
        <v>178</v>
      </c>
      <c r="C12" s="23" t="s">
        <v>179</v>
      </c>
      <c r="D12" s="78">
        <v>30000</v>
      </c>
      <c r="E12" s="81">
        <v>30000</v>
      </c>
      <c r="F12" s="78" t="s">
        <v>180</v>
      </c>
      <c r="H12" s="128" t="s">
        <v>184</v>
      </c>
      <c r="I12" s="128"/>
      <c r="J12" s="129">
        <f>COUNTIF(E10:E12,"&gt;0")</f>
        <v>2</v>
      </c>
    </row>
    <row r="14" spans="2:10" ht="18" customHeight="1" thickBot="1" x14ac:dyDescent="0.35">
      <c r="B14" s="125" t="s">
        <v>185</v>
      </c>
    </row>
    <row r="15" spans="2:10" ht="18" customHeight="1" thickBot="1" x14ac:dyDescent="0.35">
      <c r="B15" s="4" t="s">
        <v>56</v>
      </c>
      <c r="C15" s="5" t="s">
        <v>151</v>
      </c>
      <c r="D15" s="5" t="s">
        <v>167</v>
      </c>
      <c r="E15" s="5" t="s">
        <v>168</v>
      </c>
      <c r="F15" s="61" t="s">
        <v>169</v>
      </c>
      <c r="H15" s="111" t="s">
        <v>108</v>
      </c>
      <c r="I15" s="111"/>
      <c r="J15" s="5" t="s">
        <v>170</v>
      </c>
    </row>
    <row r="16" spans="2:10" ht="18" customHeight="1" x14ac:dyDescent="0.3">
      <c r="B16" s="66" t="s">
        <v>171</v>
      </c>
      <c r="C16" s="15" t="s">
        <v>172</v>
      </c>
      <c r="D16" s="78">
        <v>100000</v>
      </c>
      <c r="E16" s="78">
        <v>100000</v>
      </c>
      <c r="F16" s="78" t="s">
        <v>173</v>
      </c>
      <c r="H16" s="126" t="s">
        <v>186</v>
      </c>
      <c r="I16" s="126"/>
      <c r="J16" s="127">
        <f>COUNTA(B16:B18)</f>
        <v>3</v>
      </c>
    </row>
    <row r="17" spans="2:10" ht="18" customHeight="1" x14ac:dyDescent="0.3">
      <c r="B17" s="70" t="s">
        <v>175</v>
      </c>
      <c r="C17" s="23" t="s">
        <v>176</v>
      </c>
      <c r="D17" s="78">
        <v>40000</v>
      </c>
      <c r="E17" s="81"/>
      <c r="F17" s="78" t="s">
        <v>173</v>
      </c>
      <c r="H17" s="128" t="s">
        <v>174</v>
      </c>
      <c r="I17" s="128"/>
      <c r="J17" s="129">
        <f>COUNTA(E16:E18)</f>
        <v>2</v>
      </c>
    </row>
    <row r="18" spans="2:10" ht="18" customHeight="1" x14ac:dyDescent="0.3">
      <c r="B18" s="70" t="s">
        <v>178</v>
      </c>
      <c r="C18" s="23" t="s">
        <v>179</v>
      </c>
      <c r="D18" s="78">
        <v>30000</v>
      </c>
      <c r="E18" s="81">
        <v>30000</v>
      </c>
      <c r="F18" s="78" t="s">
        <v>180</v>
      </c>
    </row>
  </sheetData>
  <mergeCells count="11">
    <mergeCell ref="H11:I11"/>
    <mergeCell ref="H12:I12"/>
    <mergeCell ref="H15:I15"/>
    <mergeCell ref="H16:I16"/>
    <mergeCell ref="H17:I17"/>
    <mergeCell ref="H3:I3"/>
    <mergeCell ref="H4:I4"/>
    <mergeCell ref="H5:I5"/>
    <mergeCell ref="H6:I6"/>
    <mergeCell ref="H9:I9"/>
    <mergeCell ref="H10:I10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6AF8-D4EE-481D-88C6-A12AC0881240}">
  <dimension ref="B1:V102"/>
  <sheetViews>
    <sheetView showGridLines="0" zoomScale="70" zoomScaleNormal="70" workbookViewId="0">
      <selection activeCell="P45" sqref="P45"/>
    </sheetView>
  </sheetViews>
  <sheetFormatPr defaultRowHeight="18" customHeight="1" x14ac:dyDescent="0.3"/>
  <cols>
    <col min="1" max="1" width="2" style="2" customWidth="1"/>
    <col min="2" max="2" width="13.875" style="2" customWidth="1"/>
    <col min="3" max="3" width="13.25" style="2" customWidth="1"/>
    <col min="4" max="4" width="15.375" style="2" customWidth="1"/>
    <col min="5" max="12" width="12.25" style="2" customWidth="1"/>
    <col min="13" max="13" width="20.625" style="2" customWidth="1"/>
    <col min="14" max="256" width="9" style="2"/>
    <col min="257" max="257" width="2" style="2" customWidth="1"/>
    <col min="258" max="258" width="13.875" style="2" customWidth="1"/>
    <col min="259" max="259" width="13.25" style="2" customWidth="1"/>
    <col min="260" max="260" width="15.375" style="2" customWidth="1"/>
    <col min="261" max="268" width="12.25" style="2" customWidth="1"/>
    <col min="269" max="269" width="20.625" style="2" customWidth="1"/>
    <col min="270" max="512" width="9" style="2"/>
    <col min="513" max="513" width="2" style="2" customWidth="1"/>
    <col min="514" max="514" width="13.875" style="2" customWidth="1"/>
    <col min="515" max="515" width="13.25" style="2" customWidth="1"/>
    <col min="516" max="516" width="15.375" style="2" customWidth="1"/>
    <col min="517" max="524" width="12.25" style="2" customWidth="1"/>
    <col min="525" max="525" width="20.625" style="2" customWidth="1"/>
    <col min="526" max="768" width="9" style="2"/>
    <col min="769" max="769" width="2" style="2" customWidth="1"/>
    <col min="770" max="770" width="13.875" style="2" customWidth="1"/>
    <col min="771" max="771" width="13.25" style="2" customWidth="1"/>
    <col min="772" max="772" width="15.375" style="2" customWidth="1"/>
    <col min="773" max="780" width="12.25" style="2" customWidth="1"/>
    <col min="781" max="781" width="20.625" style="2" customWidth="1"/>
    <col min="782" max="1024" width="9" style="2"/>
    <col min="1025" max="1025" width="2" style="2" customWidth="1"/>
    <col min="1026" max="1026" width="13.875" style="2" customWidth="1"/>
    <col min="1027" max="1027" width="13.25" style="2" customWidth="1"/>
    <col min="1028" max="1028" width="15.375" style="2" customWidth="1"/>
    <col min="1029" max="1036" width="12.25" style="2" customWidth="1"/>
    <col min="1037" max="1037" width="20.625" style="2" customWidth="1"/>
    <col min="1038" max="1280" width="9" style="2"/>
    <col min="1281" max="1281" width="2" style="2" customWidth="1"/>
    <col min="1282" max="1282" width="13.875" style="2" customWidth="1"/>
    <col min="1283" max="1283" width="13.25" style="2" customWidth="1"/>
    <col min="1284" max="1284" width="15.375" style="2" customWidth="1"/>
    <col min="1285" max="1292" width="12.25" style="2" customWidth="1"/>
    <col min="1293" max="1293" width="20.625" style="2" customWidth="1"/>
    <col min="1294" max="1536" width="9" style="2"/>
    <col min="1537" max="1537" width="2" style="2" customWidth="1"/>
    <col min="1538" max="1538" width="13.875" style="2" customWidth="1"/>
    <col min="1539" max="1539" width="13.25" style="2" customWidth="1"/>
    <col min="1540" max="1540" width="15.375" style="2" customWidth="1"/>
    <col min="1541" max="1548" width="12.25" style="2" customWidth="1"/>
    <col min="1549" max="1549" width="20.625" style="2" customWidth="1"/>
    <col min="1550" max="1792" width="9" style="2"/>
    <col min="1793" max="1793" width="2" style="2" customWidth="1"/>
    <col min="1794" max="1794" width="13.875" style="2" customWidth="1"/>
    <col min="1795" max="1795" width="13.25" style="2" customWidth="1"/>
    <col min="1796" max="1796" width="15.375" style="2" customWidth="1"/>
    <col min="1797" max="1804" width="12.25" style="2" customWidth="1"/>
    <col min="1805" max="1805" width="20.625" style="2" customWidth="1"/>
    <col min="1806" max="2048" width="9" style="2"/>
    <col min="2049" max="2049" width="2" style="2" customWidth="1"/>
    <col min="2050" max="2050" width="13.875" style="2" customWidth="1"/>
    <col min="2051" max="2051" width="13.25" style="2" customWidth="1"/>
    <col min="2052" max="2052" width="15.375" style="2" customWidth="1"/>
    <col min="2053" max="2060" width="12.25" style="2" customWidth="1"/>
    <col min="2061" max="2061" width="20.625" style="2" customWidth="1"/>
    <col min="2062" max="2304" width="9" style="2"/>
    <col min="2305" max="2305" width="2" style="2" customWidth="1"/>
    <col min="2306" max="2306" width="13.875" style="2" customWidth="1"/>
    <col min="2307" max="2307" width="13.25" style="2" customWidth="1"/>
    <col min="2308" max="2308" width="15.375" style="2" customWidth="1"/>
    <col min="2309" max="2316" width="12.25" style="2" customWidth="1"/>
    <col min="2317" max="2317" width="20.625" style="2" customWidth="1"/>
    <col min="2318" max="2560" width="9" style="2"/>
    <col min="2561" max="2561" width="2" style="2" customWidth="1"/>
    <col min="2562" max="2562" width="13.875" style="2" customWidth="1"/>
    <col min="2563" max="2563" width="13.25" style="2" customWidth="1"/>
    <col min="2564" max="2564" width="15.375" style="2" customWidth="1"/>
    <col min="2565" max="2572" width="12.25" style="2" customWidth="1"/>
    <col min="2573" max="2573" width="20.625" style="2" customWidth="1"/>
    <col min="2574" max="2816" width="9" style="2"/>
    <col min="2817" max="2817" width="2" style="2" customWidth="1"/>
    <col min="2818" max="2818" width="13.875" style="2" customWidth="1"/>
    <col min="2819" max="2819" width="13.25" style="2" customWidth="1"/>
    <col min="2820" max="2820" width="15.375" style="2" customWidth="1"/>
    <col min="2821" max="2828" width="12.25" style="2" customWidth="1"/>
    <col min="2829" max="2829" width="20.625" style="2" customWidth="1"/>
    <col min="2830" max="3072" width="9" style="2"/>
    <col min="3073" max="3073" width="2" style="2" customWidth="1"/>
    <col min="3074" max="3074" width="13.875" style="2" customWidth="1"/>
    <col min="3075" max="3075" width="13.25" style="2" customWidth="1"/>
    <col min="3076" max="3076" width="15.375" style="2" customWidth="1"/>
    <col min="3077" max="3084" width="12.25" style="2" customWidth="1"/>
    <col min="3085" max="3085" width="20.625" style="2" customWidth="1"/>
    <col min="3086" max="3328" width="9" style="2"/>
    <col min="3329" max="3329" width="2" style="2" customWidth="1"/>
    <col min="3330" max="3330" width="13.875" style="2" customWidth="1"/>
    <col min="3331" max="3331" width="13.25" style="2" customWidth="1"/>
    <col min="3332" max="3332" width="15.375" style="2" customWidth="1"/>
    <col min="3333" max="3340" width="12.25" style="2" customWidth="1"/>
    <col min="3341" max="3341" width="20.625" style="2" customWidth="1"/>
    <col min="3342" max="3584" width="9" style="2"/>
    <col min="3585" max="3585" width="2" style="2" customWidth="1"/>
    <col min="3586" max="3586" width="13.875" style="2" customWidth="1"/>
    <col min="3587" max="3587" width="13.25" style="2" customWidth="1"/>
    <col min="3588" max="3588" width="15.375" style="2" customWidth="1"/>
    <col min="3589" max="3596" width="12.25" style="2" customWidth="1"/>
    <col min="3597" max="3597" width="20.625" style="2" customWidth="1"/>
    <col min="3598" max="3840" width="9" style="2"/>
    <col min="3841" max="3841" width="2" style="2" customWidth="1"/>
    <col min="3842" max="3842" width="13.875" style="2" customWidth="1"/>
    <col min="3843" max="3843" width="13.25" style="2" customWidth="1"/>
    <col min="3844" max="3844" width="15.375" style="2" customWidth="1"/>
    <col min="3845" max="3852" width="12.25" style="2" customWidth="1"/>
    <col min="3853" max="3853" width="20.625" style="2" customWidth="1"/>
    <col min="3854" max="4096" width="9" style="2"/>
    <col min="4097" max="4097" width="2" style="2" customWidth="1"/>
    <col min="4098" max="4098" width="13.875" style="2" customWidth="1"/>
    <col min="4099" max="4099" width="13.25" style="2" customWidth="1"/>
    <col min="4100" max="4100" width="15.375" style="2" customWidth="1"/>
    <col min="4101" max="4108" width="12.25" style="2" customWidth="1"/>
    <col min="4109" max="4109" width="20.625" style="2" customWidth="1"/>
    <col min="4110" max="4352" width="9" style="2"/>
    <col min="4353" max="4353" width="2" style="2" customWidth="1"/>
    <col min="4354" max="4354" width="13.875" style="2" customWidth="1"/>
    <col min="4355" max="4355" width="13.25" style="2" customWidth="1"/>
    <col min="4356" max="4356" width="15.375" style="2" customWidth="1"/>
    <col min="4357" max="4364" width="12.25" style="2" customWidth="1"/>
    <col min="4365" max="4365" width="20.625" style="2" customWidth="1"/>
    <col min="4366" max="4608" width="9" style="2"/>
    <col min="4609" max="4609" width="2" style="2" customWidth="1"/>
    <col min="4610" max="4610" width="13.875" style="2" customWidth="1"/>
    <col min="4611" max="4611" width="13.25" style="2" customWidth="1"/>
    <col min="4612" max="4612" width="15.375" style="2" customWidth="1"/>
    <col min="4613" max="4620" width="12.25" style="2" customWidth="1"/>
    <col min="4621" max="4621" width="20.625" style="2" customWidth="1"/>
    <col min="4622" max="4864" width="9" style="2"/>
    <col min="4865" max="4865" width="2" style="2" customWidth="1"/>
    <col min="4866" max="4866" width="13.875" style="2" customWidth="1"/>
    <col min="4867" max="4867" width="13.25" style="2" customWidth="1"/>
    <col min="4868" max="4868" width="15.375" style="2" customWidth="1"/>
    <col min="4869" max="4876" width="12.25" style="2" customWidth="1"/>
    <col min="4877" max="4877" width="20.625" style="2" customWidth="1"/>
    <col min="4878" max="5120" width="9" style="2"/>
    <col min="5121" max="5121" width="2" style="2" customWidth="1"/>
    <col min="5122" max="5122" width="13.875" style="2" customWidth="1"/>
    <col min="5123" max="5123" width="13.25" style="2" customWidth="1"/>
    <col min="5124" max="5124" width="15.375" style="2" customWidth="1"/>
    <col min="5125" max="5132" width="12.25" style="2" customWidth="1"/>
    <col min="5133" max="5133" width="20.625" style="2" customWidth="1"/>
    <col min="5134" max="5376" width="9" style="2"/>
    <col min="5377" max="5377" width="2" style="2" customWidth="1"/>
    <col min="5378" max="5378" width="13.875" style="2" customWidth="1"/>
    <col min="5379" max="5379" width="13.25" style="2" customWidth="1"/>
    <col min="5380" max="5380" width="15.375" style="2" customWidth="1"/>
    <col min="5381" max="5388" width="12.25" style="2" customWidth="1"/>
    <col min="5389" max="5389" width="20.625" style="2" customWidth="1"/>
    <col min="5390" max="5632" width="9" style="2"/>
    <col min="5633" max="5633" width="2" style="2" customWidth="1"/>
    <col min="5634" max="5634" width="13.875" style="2" customWidth="1"/>
    <col min="5635" max="5635" width="13.25" style="2" customWidth="1"/>
    <col min="5636" max="5636" width="15.375" style="2" customWidth="1"/>
    <col min="5637" max="5644" width="12.25" style="2" customWidth="1"/>
    <col min="5645" max="5645" width="20.625" style="2" customWidth="1"/>
    <col min="5646" max="5888" width="9" style="2"/>
    <col min="5889" max="5889" width="2" style="2" customWidth="1"/>
    <col min="5890" max="5890" width="13.875" style="2" customWidth="1"/>
    <col min="5891" max="5891" width="13.25" style="2" customWidth="1"/>
    <col min="5892" max="5892" width="15.375" style="2" customWidth="1"/>
    <col min="5893" max="5900" width="12.25" style="2" customWidth="1"/>
    <col min="5901" max="5901" width="20.625" style="2" customWidth="1"/>
    <col min="5902" max="6144" width="9" style="2"/>
    <col min="6145" max="6145" width="2" style="2" customWidth="1"/>
    <col min="6146" max="6146" width="13.875" style="2" customWidth="1"/>
    <col min="6147" max="6147" width="13.25" style="2" customWidth="1"/>
    <col min="6148" max="6148" width="15.375" style="2" customWidth="1"/>
    <col min="6149" max="6156" width="12.25" style="2" customWidth="1"/>
    <col min="6157" max="6157" width="20.625" style="2" customWidth="1"/>
    <col min="6158" max="6400" width="9" style="2"/>
    <col min="6401" max="6401" width="2" style="2" customWidth="1"/>
    <col min="6402" max="6402" width="13.875" style="2" customWidth="1"/>
    <col min="6403" max="6403" width="13.25" style="2" customWidth="1"/>
    <col min="6404" max="6404" width="15.375" style="2" customWidth="1"/>
    <col min="6405" max="6412" width="12.25" style="2" customWidth="1"/>
    <col min="6413" max="6413" width="20.625" style="2" customWidth="1"/>
    <col min="6414" max="6656" width="9" style="2"/>
    <col min="6657" max="6657" width="2" style="2" customWidth="1"/>
    <col min="6658" max="6658" width="13.875" style="2" customWidth="1"/>
    <col min="6659" max="6659" width="13.25" style="2" customWidth="1"/>
    <col min="6660" max="6660" width="15.375" style="2" customWidth="1"/>
    <col min="6661" max="6668" width="12.25" style="2" customWidth="1"/>
    <col min="6669" max="6669" width="20.625" style="2" customWidth="1"/>
    <col min="6670" max="6912" width="9" style="2"/>
    <col min="6913" max="6913" width="2" style="2" customWidth="1"/>
    <col min="6914" max="6914" width="13.875" style="2" customWidth="1"/>
    <col min="6915" max="6915" width="13.25" style="2" customWidth="1"/>
    <col min="6916" max="6916" width="15.375" style="2" customWidth="1"/>
    <col min="6917" max="6924" width="12.25" style="2" customWidth="1"/>
    <col min="6925" max="6925" width="20.625" style="2" customWidth="1"/>
    <col min="6926" max="7168" width="9" style="2"/>
    <col min="7169" max="7169" width="2" style="2" customWidth="1"/>
    <col min="7170" max="7170" width="13.875" style="2" customWidth="1"/>
    <col min="7171" max="7171" width="13.25" style="2" customWidth="1"/>
    <col min="7172" max="7172" width="15.375" style="2" customWidth="1"/>
    <col min="7173" max="7180" width="12.25" style="2" customWidth="1"/>
    <col min="7181" max="7181" width="20.625" style="2" customWidth="1"/>
    <col min="7182" max="7424" width="9" style="2"/>
    <col min="7425" max="7425" width="2" style="2" customWidth="1"/>
    <col min="7426" max="7426" width="13.875" style="2" customWidth="1"/>
    <col min="7427" max="7427" width="13.25" style="2" customWidth="1"/>
    <col min="7428" max="7428" width="15.375" style="2" customWidth="1"/>
    <col min="7429" max="7436" width="12.25" style="2" customWidth="1"/>
    <col min="7437" max="7437" width="20.625" style="2" customWidth="1"/>
    <col min="7438" max="7680" width="9" style="2"/>
    <col min="7681" max="7681" width="2" style="2" customWidth="1"/>
    <col min="7682" max="7682" width="13.875" style="2" customWidth="1"/>
    <col min="7683" max="7683" width="13.25" style="2" customWidth="1"/>
    <col min="7684" max="7684" width="15.375" style="2" customWidth="1"/>
    <col min="7685" max="7692" width="12.25" style="2" customWidth="1"/>
    <col min="7693" max="7693" width="20.625" style="2" customWidth="1"/>
    <col min="7694" max="7936" width="9" style="2"/>
    <col min="7937" max="7937" width="2" style="2" customWidth="1"/>
    <col min="7938" max="7938" width="13.875" style="2" customWidth="1"/>
    <col min="7939" max="7939" width="13.25" style="2" customWidth="1"/>
    <col min="7940" max="7940" width="15.375" style="2" customWidth="1"/>
    <col min="7941" max="7948" width="12.25" style="2" customWidth="1"/>
    <col min="7949" max="7949" width="20.625" style="2" customWidth="1"/>
    <col min="7950" max="8192" width="9" style="2"/>
    <col min="8193" max="8193" width="2" style="2" customWidth="1"/>
    <col min="8194" max="8194" width="13.875" style="2" customWidth="1"/>
    <col min="8195" max="8195" width="13.25" style="2" customWidth="1"/>
    <col min="8196" max="8196" width="15.375" style="2" customWidth="1"/>
    <col min="8197" max="8204" width="12.25" style="2" customWidth="1"/>
    <col min="8205" max="8205" width="20.625" style="2" customWidth="1"/>
    <col min="8206" max="8448" width="9" style="2"/>
    <col min="8449" max="8449" width="2" style="2" customWidth="1"/>
    <col min="8450" max="8450" width="13.875" style="2" customWidth="1"/>
    <col min="8451" max="8451" width="13.25" style="2" customWidth="1"/>
    <col min="8452" max="8452" width="15.375" style="2" customWidth="1"/>
    <col min="8453" max="8460" width="12.25" style="2" customWidth="1"/>
    <col min="8461" max="8461" width="20.625" style="2" customWidth="1"/>
    <col min="8462" max="8704" width="9" style="2"/>
    <col min="8705" max="8705" width="2" style="2" customWidth="1"/>
    <col min="8706" max="8706" width="13.875" style="2" customWidth="1"/>
    <col min="8707" max="8707" width="13.25" style="2" customWidth="1"/>
    <col min="8708" max="8708" width="15.375" style="2" customWidth="1"/>
    <col min="8709" max="8716" width="12.25" style="2" customWidth="1"/>
    <col min="8717" max="8717" width="20.625" style="2" customWidth="1"/>
    <col min="8718" max="8960" width="9" style="2"/>
    <col min="8961" max="8961" width="2" style="2" customWidth="1"/>
    <col min="8962" max="8962" width="13.875" style="2" customWidth="1"/>
    <col min="8963" max="8963" width="13.25" style="2" customWidth="1"/>
    <col min="8964" max="8964" width="15.375" style="2" customWidth="1"/>
    <col min="8965" max="8972" width="12.25" style="2" customWidth="1"/>
    <col min="8973" max="8973" width="20.625" style="2" customWidth="1"/>
    <col min="8974" max="9216" width="9" style="2"/>
    <col min="9217" max="9217" width="2" style="2" customWidth="1"/>
    <col min="9218" max="9218" width="13.875" style="2" customWidth="1"/>
    <col min="9219" max="9219" width="13.25" style="2" customWidth="1"/>
    <col min="9220" max="9220" width="15.375" style="2" customWidth="1"/>
    <col min="9221" max="9228" width="12.25" style="2" customWidth="1"/>
    <col min="9229" max="9229" width="20.625" style="2" customWidth="1"/>
    <col min="9230" max="9472" width="9" style="2"/>
    <col min="9473" max="9473" width="2" style="2" customWidth="1"/>
    <col min="9474" max="9474" width="13.875" style="2" customWidth="1"/>
    <col min="9475" max="9475" width="13.25" style="2" customWidth="1"/>
    <col min="9476" max="9476" width="15.375" style="2" customWidth="1"/>
    <col min="9477" max="9484" width="12.25" style="2" customWidth="1"/>
    <col min="9485" max="9485" width="20.625" style="2" customWidth="1"/>
    <col min="9486" max="9728" width="9" style="2"/>
    <col min="9729" max="9729" width="2" style="2" customWidth="1"/>
    <col min="9730" max="9730" width="13.875" style="2" customWidth="1"/>
    <col min="9731" max="9731" width="13.25" style="2" customWidth="1"/>
    <col min="9732" max="9732" width="15.375" style="2" customWidth="1"/>
    <col min="9733" max="9740" width="12.25" style="2" customWidth="1"/>
    <col min="9741" max="9741" width="20.625" style="2" customWidth="1"/>
    <col min="9742" max="9984" width="9" style="2"/>
    <col min="9985" max="9985" width="2" style="2" customWidth="1"/>
    <col min="9986" max="9986" width="13.875" style="2" customWidth="1"/>
    <col min="9987" max="9987" width="13.25" style="2" customWidth="1"/>
    <col min="9988" max="9988" width="15.375" style="2" customWidth="1"/>
    <col min="9989" max="9996" width="12.25" style="2" customWidth="1"/>
    <col min="9997" max="9997" width="20.625" style="2" customWidth="1"/>
    <col min="9998" max="10240" width="9" style="2"/>
    <col min="10241" max="10241" width="2" style="2" customWidth="1"/>
    <col min="10242" max="10242" width="13.875" style="2" customWidth="1"/>
    <col min="10243" max="10243" width="13.25" style="2" customWidth="1"/>
    <col min="10244" max="10244" width="15.375" style="2" customWidth="1"/>
    <col min="10245" max="10252" width="12.25" style="2" customWidth="1"/>
    <col min="10253" max="10253" width="20.625" style="2" customWidth="1"/>
    <col min="10254" max="10496" width="9" style="2"/>
    <col min="10497" max="10497" width="2" style="2" customWidth="1"/>
    <col min="10498" max="10498" width="13.875" style="2" customWidth="1"/>
    <col min="10499" max="10499" width="13.25" style="2" customWidth="1"/>
    <col min="10500" max="10500" width="15.375" style="2" customWidth="1"/>
    <col min="10501" max="10508" width="12.25" style="2" customWidth="1"/>
    <col min="10509" max="10509" width="20.625" style="2" customWidth="1"/>
    <col min="10510" max="10752" width="9" style="2"/>
    <col min="10753" max="10753" width="2" style="2" customWidth="1"/>
    <col min="10754" max="10754" width="13.875" style="2" customWidth="1"/>
    <col min="10755" max="10755" width="13.25" style="2" customWidth="1"/>
    <col min="10756" max="10756" width="15.375" style="2" customWidth="1"/>
    <col min="10757" max="10764" width="12.25" style="2" customWidth="1"/>
    <col min="10765" max="10765" width="20.625" style="2" customWidth="1"/>
    <col min="10766" max="11008" width="9" style="2"/>
    <col min="11009" max="11009" width="2" style="2" customWidth="1"/>
    <col min="11010" max="11010" width="13.875" style="2" customWidth="1"/>
    <col min="11011" max="11011" width="13.25" style="2" customWidth="1"/>
    <col min="11012" max="11012" width="15.375" style="2" customWidth="1"/>
    <col min="11013" max="11020" width="12.25" style="2" customWidth="1"/>
    <col min="11021" max="11021" width="20.625" style="2" customWidth="1"/>
    <col min="11022" max="11264" width="9" style="2"/>
    <col min="11265" max="11265" width="2" style="2" customWidth="1"/>
    <col min="11266" max="11266" width="13.875" style="2" customWidth="1"/>
    <col min="11267" max="11267" width="13.25" style="2" customWidth="1"/>
    <col min="11268" max="11268" width="15.375" style="2" customWidth="1"/>
    <col min="11269" max="11276" width="12.25" style="2" customWidth="1"/>
    <col min="11277" max="11277" width="20.625" style="2" customWidth="1"/>
    <col min="11278" max="11520" width="9" style="2"/>
    <col min="11521" max="11521" width="2" style="2" customWidth="1"/>
    <col min="11522" max="11522" width="13.875" style="2" customWidth="1"/>
    <col min="11523" max="11523" width="13.25" style="2" customWidth="1"/>
    <col min="11524" max="11524" width="15.375" style="2" customWidth="1"/>
    <col min="11525" max="11532" width="12.25" style="2" customWidth="1"/>
    <col min="11533" max="11533" width="20.625" style="2" customWidth="1"/>
    <col min="11534" max="11776" width="9" style="2"/>
    <col min="11777" max="11777" width="2" style="2" customWidth="1"/>
    <col min="11778" max="11778" width="13.875" style="2" customWidth="1"/>
    <col min="11779" max="11779" width="13.25" style="2" customWidth="1"/>
    <col min="11780" max="11780" width="15.375" style="2" customWidth="1"/>
    <col min="11781" max="11788" width="12.25" style="2" customWidth="1"/>
    <col min="11789" max="11789" width="20.625" style="2" customWidth="1"/>
    <col min="11790" max="12032" width="9" style="2"/>
    <col min="12033" max="12033" width="2" style="2" customWidth="1"/>
    <col min="12034" max="12034" width="13.875" style="2" customWidth="1"/>
    <col min="12035" max="12035" width="13.25" style="2" customWidth="1"/>
    <col min="12036" max="12036" width="15.375" style="2" customWidth="1"/>
    <col min="12037" max="12044" width="12.25" style="2" customWidth="1"/>
    <col min="12045" max="12045" width="20.625" style="2" customWidth="1"/>
    <col min="12046" max="12288" width="9" style="2"/>
    <col min="12289" max="12289" width="2" style="2" customWidth="1"/>
    <col min="12290" max="12290" width="13.875" style="2" customWidth="1"/>
    <col min="12291" max="12291" width="13.25" style="2" customWidth="1"/>
    <col min="12292" max="12292" width="15.375" style="2" customWidth="1"/>
    <col min="12293" max="12300" width="12.25" style="2" customWidth="1"/>
    <col min="12301" max="12301" width="20.625" style="2" customWidth="1"/>
    <col min="12302" max="12544" width="9" style="2"/>
    <col min="12545" max="12545" width="2" style="2" customWidth="1"/>
    <col min="12546" max="12546" width="13.875" style="2" customWidth="1"/>
    <col min="12547" max="12547" width="13.25" style="2" customWidth="1"/>
    <col min="12548" max="12548" width="15.375" style="2" customWidth="1"/>
    <col min="12549" max="12556" width="12.25" style="2" customWidth="1"/>
    <col min="12557" max="12557" width="20.625" style="2" customWidth="1"/>
    <col min="12558" max="12800" width="9" style="2"/>
    <col min="12801" max="12801" width="2" style="2" customWidth="1"/>
    <col min="12802" max="12802" width="13.875" style="2" customWidth="1"/>
    <col min="12803" max="12803" width="13.25" style="2" customWidth="1"/>
    <col min="12804" max="12804" width="15.375" style="2" customWidth="1"/>
    <col min="12805" max="12812" width="12.25" style="2" customWidth="1"/>
    <col min="12813" max="12813" width="20.625" style="2" customWidth="1"/>
    <col min="12814" max="13056" width="9" style="2"/>
    <col min="13057" max="13057" width="2" style="2" customWidth="1"/>
    <col min="13058" max="13058" width="13.875" style="2" customWidth="1"/>
    <col min="13059" max="13059" width="13.25" style="2" customWidth="1"/>
    <col min="13060" max="13060" width="15.375" style="2" customWidth="1"/>
    <col min="13061" max="13068" width="12.25" style="2" customWidth="1"/>
    <col min="13069" max="13069" width="20.625" style="2" customWidth="1"/>
    <col min="13070" max="13312" width="9" style="2"/>
    <col min="13313" max="13313" width="2" style="2" customWidth="1"/>
    <col min="13314" max="13314" width="13.875" style="2" customWidth="1"/>
    <col min="13315" max="13315" width="13.25" style="2" customWidth="1"/>
    <col min="13316" max="13316" width="15.375" style="2" customWidth="1"/>
    <col min="13317" max="13324" width="12.25" style="2" customWidth="1"/>
    <col min="13325" max="13325" width="20.625" style="2" customWidth="1"/>
    <col min="13326" max="13568" width="9" style="2"/>
    <col min="13569" max="13569" width="2" style="2" customWidth="1"/>
    <col min="13570" max="13570" width="13.875" style="2" customWidth="1"/>
    <col min="13571" max="13571" width="13.25" style="2" customWidth="1"/>
    <col min="13572" max="13572" width="15.375" style="2" customWidth="1"/>
    <col min="13573" max="13580" width="12.25" style="2" customWidth="1"/>
    <col min="13581" max="13581" width="20.625" style="2" customWidth="1"/>
    <col min="13582" max="13824" width="9" style="2"/>
    <col min="13825" max="13825" width="2" style="2" customWidth="1"/>
    <col min="13826" max="13826" width="13.875" style="2" customWidth="1"/>
    <col min="13827" max="13827" width="13.25" style="2" customWidth="1"/>
    <col min="13828" max="13828" width="15.375" style="2" customWidth="1"/>
    <col min="13829" max="13836" width="12.25" style="2" customWidth="1"/>
    <col min="13837" max="13837" width="20.625" style="2" customWidth="1"/>
    <col min="13838" max="14080" width="9" style="2"/>
    <col min="14081" max="14081" width="2" style="2" customWidth="1"/>
    <col min="14082" max="14082" width="13.875" style="2" customWidth="1"/>
    <col min="14083" max="14083" width="13.25" style="2" customWidth="1"/>
    <col min="14084" max="14084" width="15.375" style="2" customWidth="1"/>
    <col min="14085" max="14092" width="12.25" style="2" customWidth="1"/>
    <col min="14093" max="14093" width="20.625" style="2" customWidth="1"/>
    <col min="14094" max="14336" width="9" style="2"/>
    <col min="14337" max="14337" width="2" style="2" customWidth="1"/>
    <col min="14338" max="14338" width="13.875" style="2" customWidth="1"/>
    <col min="14339" max="14339" width="13.25" style="2" customWidth="1"/>
    <col min="14340" max="14340" width="15.375" style="2" customWidth="1"/>
    <col min="14341" max="14348" width="12.25" style="2" customWidth="1"/>
    <col min="14349" max="14349" width="20.625" style="2" customWidth="1"/>
    <col min="14350" max="14592" width="9" style="2"/>
    <col min="14593" max="14593" width="2" style="2" customWidth="1"/>
    <col min="14594" max="14594" width="13.875" style="2" customWidth="1"/>
    <col min="14595" max="14595" width="13.25" style="2" customWidth="1"/>
    <col min="14596" max="14596" width="15.375" style="2" customWidth="1"/>
    <col min="14597" max="14604" width="12.25" style="2" customWidth="1"/>
    <col min="14605" max="14605" width="20.625" style="2" customWidth="1"/>
    <col min="14606" max="14848" width="9" style="2"/>
    <col min="14849" max="14849" width="2" style="2" customWidth="1"/>
    <col min="14850" max="14850" width="13.875" style="2" customWidth="1"/>
    <col min="14851" max="14851" width="13.25" style="2" customWidth="1"/>
    <col min="14852" max="14852" width="15.375" style="2" customWidth="1"/>
    <col min="14853" max="14860" width="12.25" style="2" customWidth="1"/>
    <col min="14861" max="14861" width="20.625" style="2" customWidth="1"/>
    <col min="14862" max="15104" width="9" style="2"/>
    <col min="15105" max="15105" width="2" style="2" customWidth="1"/>
    <col min="15106" max="15106" width="13.875" style="2" customWidth="1"/>
    <col min="15107" max="15107" width="13.25" style="2" customWidth="1"/>
    <col min="15108" max="15108" width="15.375" style="2" customWidth="1"/>
    <col min="15109" max="15116" width="12.25" style="2" customWidth="1"/>
    <col min="15117" max="15117" width="20.625" style="2" customWidth="1"/>
    <col min="15118" max="15360" width="9" style="2"/>
    <col min="15361" max="15361" width="2" style="2" customWidth="1"/>
    <col min="15362" max="15362" width="13.875" style="2" customWidth="1"/>
    <col min="15363" max="15363" width="13.25" style="2" customWidth="1"/>
    <col min="15364" max="15364" width="15.375" style="2" customWidth="1"/>
    <col min="15365" max="15372" width="12.25" style="2" customWidth="1"/>
    <col min="15373" max="15373" width="20.625" style="2" customWidth="1"/>
    <col min="15374" max="15616" width="9" style="2"/>
    <col min="15617" max="15617" width="2" style="2" customWidth="1"/>
    <col min="15618" max="15618" width="13.875" style="2" customWidth="1"/>
    <col min="15619" max="15619" width="13.25" style="2" customWidth="1"/>
    <col min="15620" max="15620" width="15.375" style="2" customWidth="1"/>
    <col min="15621" max="15628" width="12.25" style="2" customWidth="1"/>
    <col min="15629" max="15629" width="20.625" style="2" customWidth="1"/>
    <col min="15630" max="15872" width="9" style="2"/>
    <col min="15873" max="15873" width="2" style="2" customWidth="1"/>
    <col min="15874" max="15874" width="13.875" style="2" customWidth="1"/>
    <col min="15875" max="15875" width="13.25" style="2" customWidth="1"/>
    <col min="15876" max="15876" width="15.375" style="2" customWidth="1"/>
    <col min="15877" max="15884" width="12.25" style="2" customWidth="1"/>
    <col min="15885" max="15885" width="20.625" style="2" customWidth="1"/>
    <col min="15886" max="16128" width="9" style="2"/>
    <col min="16129" max="16129" width="2" style="2" customWidth="1"/>
    <col min="16130" max="16130" width="13.875" style="2" customWidth="1"/>
    <col min="16131" max="16131" width="13.25" style="2" customWidth="1"/>
    <col min="16132" max="16132" width="15.375" style="2" customWidth="1"/>
    <col min="16133" max="16140" width="12.25" style="2" customWidth="1"/>
    <col min="16141" max="16141" width="20.625" style="2" customWidth="1"/>
    <col min="16142" max="16384" width="9" style="2"/>
  </cols>
  <sheetData>
    <row r="1" spans="2:20" ht="18" customHeight="1" thickBot="1" x14ac:dyDescent="0.35">
      <c r="B1" s="1" t="s">
        <v>187</v>
      </c>
    </row>
    <row r="2" spans="2:20" ht="18" customHeight="1" thickBot="1" x14ac:dyDescent="0.35">
      <c r="B2" s="41" t="s">
        <v>188</v>
      </c>
      <c r="C2" s="5" t="s">
        <v>189</v>
      </c>
      <c r="E2" s="41" t="s">
        <v>190</v>
      </c>
      <c r="F2" s="5" t="s">
        <v>191</v>
      </c>
      <c r="G2" s="5" t="s">
        <v>192</v>
      </c>
      <c r="M2" s="1" t="s">
        <v>193</v>
      </c>
    </row>
    <row r="3" spans="2:20" ht="18" customHeight="1" thickBot="1" x14ac:dyDescent="0.35">
      <c r="B3" s="133" t="s">
        <v>194</v>
      </c>
      <c r="C3" s="134">
        <f>VALUE(B3)</f>
        <v>12580000</v>
      </c>
      <c r="E3" s="135">
        <v>10800000</v>
      </c>
      <c r="F3" s="117">
        <f>E3*0.025</f>
        <v>270000</v>
      </c>
      <c r="G3" s="134">
        <f>IF(VALUE(RIGHT(E3*0.025,4))&lt;5000,TRUNC(E3*0.025,-4),TRUNC(E3*0.025,-4)+5000)</f>
        <v>270000</v>
      </c>
      <c r="M3" s="4" t="s">
        <v>57</v>
      </c>
      <c r="N3" s="5" t="s">
        <v>79</v>
      </c>
      <c r="O3" s="5" t="s">
        <v>195</v>
      </c>
      <c r="P3" s="5" t="s">
        <v>196</v>
      </c>
      <c r="R3" s="74" t="s">
        <v>57</v>
      </c>
      <c r="S3" s="75"/>
      <c r="T3" s="5" t="s">
        <v>197</v>
      </c>
    </row>
    <row r="4" spans="2:20" ht="18" customHeight="1" x14ac:dyDescent="0.3">
      <c r="B4" s="108" t="s">
        <v>198</v>
      </c>
      <c r="C4" s="136">
        <f>VALUE(B4)</f>
        <v>25800000</v>
      </c>
      <c r="E4" s="137">
        <v>23500000</v>
      </c>
      <c r="F4" s="81">
        <f>E4*2.5%</f>
        <v>587500</v>
      </c>
      <c r="G4" s="136">
        <f>IF(VALUE(RIGHT(E4*0.025,4))&lt;5000,TRUNC(E4*0.025,-4),TRUNC(E4*0.025,-4)+5000)</f>
        <v>585000</v>
      </c>
      <c r="M4" s="66" t="s">
        <v>199</v>
      </c>
      <c r="N4" s="138" t="str">
        <f>MID(M4,1,6)</f>
        <v>891001</v>
      </c>
      <c r="O4" s="138" t="str">
        <f>MID(M4,8,1)</f>
        <v>1</v>
      </c>
      <c r="P4" s="15" t="s">
        <v>200</v>
      </c>
      <c r="R4" s="76" t="s">
        <v>199</v>
      </c>
      <c r="S4" s="77"/>
      <c r="T4" s="138" t="str">
        <f>IF(OR(MID(R4,8,1)="1",MID(R4,8,1)="3"),"남자",IF(OR(MID(R4,8,1)="2",MID(R4,8,1)="4"),"여자"))</f>
        <v>남자</v>
      </c>
    </row>
    <row r="5" spans="2:20" ht="18" customHeight="1" x14ac:dyDescent="0.3">
      <c r="M5" s="66" t="s">
        <v>199</v>
      </c>
      <c r="N5" s="124" t="str">
        <f>MID(M5,3,2)&amp;"-"&amp;MID(M5,5,2)</f>
        <v>10-01</v>
      </c>
      <c r="O5" s="138" t="str">
        <f>MID(M5,8,2)</f>
        <v>12</v>
      </c>
      <c r="P5" s="15" t="s">
        <v>201</v>
      </c>
      <c r="R5" s="79" t="s">
        <v>202</v>
      </c>
      <c r="S5" s="80"/>
      <c r="T5" s="138" t="str">
        <f>IF(OR(MID(R5,8,1)="1",MID(R5,8,1)="3"),"남자",IF(OR(MID(R5,8,1)="2",MID(R5,8,1)="4"),"여자"))</f>
        <v>여자</v>
      </c>
    </row>
    <row r="6" spans="2:20" ht="18" customHeight="1" thickBot="1" x14ac:dyDescent="0.35">
      <c r="B6" s="1" t="s">
        <v>203</v>
      </c>
      <c r="M6" s="66" t="s">
        <v>199</v>
      </c>
      <c r="N6" s="124" t="str">
        <f>"19"&amp;MID(M6,1,2)&amp;"-"&amp;MID(M6,3,2)&amp;"-"&amp;MID(M6,5,2)</f>
        <v>1989-10-01</v>
      </c>
      <c r="O6" s="138" t="str">
        <f>MID(M6,8,5)</f>
        <v>12345</v>
      </c>
      <c r="P6" s="15" t="s">
        <v>204</v>
      </c>
      <c r="R6" s="79" t="s">
        <v>205</v>
      </c>
      <c r="S6" s="80"/>
      <c r="T6" s="138" t="str">
        <f>IF(OR(MID(R6,8,1)="1",MID(R6,8,1)="3"),"남자",IF(OR(MID(R6,8,1)="2",MID(R6,8,1)="4"),"여자"))</f>
        <v>남자</v>
      </c>
    </row>
    <row r="7" spans="2:20" ht="18" customHeight="1" thickBot="1" x14ac:dyDescent="0.35">
      <c r="B7" s="41" t="s">
        <v>87</v>
      </c>
      <c r="C7" s="5" t="s">
        <v>206</v>
      </c>
      <c r="D7" s="5" t="s">
        <v>206</v>
      </c>
      <c r="M7" s="2" t="s">
        <v>207</v>
      </c>
    </row>
    <row r="8" spans="2:20" ht="18" customHeight="1" x14ac:dyDescent="0.3">
      <c r="B8" s="96">
        <v>44044</v>
      </c>
      <c r="C8" s="122" t="str">
        <f>TEXT(B8,"aaa")</f>
        <v>토</v>
      </c>
      <c r="D8" s="122" t="str">
        <f>TEXT(B8,"aaaa")</f>
        <v>토요일</v>
      </c>
    </row>
    <row r="9" spans="2:20" ht="18" customHeight="1" thickBot="1" x14ac:dyDescent="0.35">
      <c r="B9" s="70">
        <v>44075</v>
      </c>
      <c r="C9" s="124" t="str">
        <f>TEXT(B9,"yyyy-mm-dd DDD")</f>
        <v>2020-09-01 Tue</v>
      </c>
      <c r="D9" s="124" t="str">
        <f>TEXT(B9,"yyyy-mm-dd DDDD")</f>
        <v>2020-09-01 Tuesday</v>
      </c>
      <c r="M9" s="1" t="s">
        <v>208</v>
      </c>
    </row>
    <row r="10" spans="2:20" ht="18" customHeight="1" thickBot="1" x14ac:dyDescent="0.35">
      <c r="B10" s="70">
        <v>44109</v>
      </c>
      <c r="C10" s="124" t="str">
        <f>TEXT(B10,"yyyy-mm-dd aaa")</f>
        <v>2020-10-05 월</v>
      </c>
      <c r="D10" s="124" t="str">
        <f>TEXT(B10,"yyyy-mm-dd aaaa")</f>
        <v>2020-10-05 월요일</v>
      </c>
      <c r="M10" s="4" t="s">
        <v>57</v>
      </c>
      <c r="N10" s="5" t="s">
        <v>208</v>
      </c>
      <c r="O10" s="5" t="s">
        <v>196</v>
      </c>
    </row>
    <row r="11" spans="2:20" ht="18" customHeight="1" x14ac:dyDescent="0.3">
      <c r="M11" s="66" t="s">
        <v>199</v>
      </c>
      <c r="N11" s="138" t="str">
        <f>RIGHT(M11,7)</f>
        <v>1234567</v>
      </c>
      <c r="O11" s="15" t="s">
        <v>209</v>
      </c>
    </row>
    <row r="12" spans="2:20" ht="18" customHeight="1" thickBot="1" x14ac:dyDescent="0.35">
      <c r="B12" s="1" t="s">
        <v>210</v>
      </c>
      <c r="M12" s="66" t="s">
        <v>199</v>
      </c>
      <c r="N12" s="138" t="str">
        <f>RIGHT(M12,5)</f>
        <v>34567</v>
      </c>
      <c r="O12" s="15" t="s">
        <v>211</v>
      </c>
    </row>
    <row r="13" spans="2:20" ht="18" customHeight="1" thickBot="1" x14ac:dyDescent="0.35">
      <c r="B13" s="41" t="s">
        <v>212</v>
      </c>
      <c r="C13" s="93" t="s">
        <v>213</v>
      </c>
      <c r="D13" s="94"/>
      <c r="E13" s="94"/>
      <c r="F13" s="95"/>
      <c r="M13" s="66" t="s">
        <v>199</v>
      </c>
      <c r="N13" s="138" t="str">
        <f>RIGHT(M13,3)</f>
        <v>567</v>
      </c>
      <c r="O13" s="15" t="s">
        <v>214</v>
      </c>
    </row>
    <row r="14" spans="2:20" ht="18" customHeight="1" x14ac:dyDescent="0.3">
      <c r="B14" s="135">
        <v>27582000</v>
      </c>
      <c r="C14" s="99" t="str">
        <f>NUMBERSTRING(B14,1)&amp;"원정        "&amp;"(￦"&amp;TEXT(B14,"#,###,###,###")&amp;"원)"</f>
        <v>이천칠백오십팔만이천원정        (￦27,582,000원)</v>
      </c>
      <c r="D14" s="100"/>
      <c r="E14" s="100"/>
      <c r="F14" s="101"/>
    </row>
    <row r="15" spans="2:20" ht="18" customHeight="1" thickBot="1" x14ac:dyDescent="0.35">
      <c r="B15" s="137">
        <v>58258200</v>
      </c>
      <c r="C15" s="99" t="str">
        <f>NUMBERSTRING(B15,1)&amp;"원정   "&amp;"(￦"&amp;TEXT(B15,"#,###,###,###")&amp;"원)"</f>
        <v>오천팔백이십오만팔천이백원정   (￦58,258,200원)</v>
      </c>
      <c r="D15" s="100"/>
      <c r="E15" s="100"/>
      <c r="F15" s="101"/>
      <c r="M15" s="1" t="s">
        <v>215</v>
      </c>
    </row>
    <row r="16" spans="2:20" ht="18" customHeight="1" thickBot="1" x14ac:dyDescent="0.35">
      <c r="M16" s="4" t="s">
        <v>57</v>
      </c>
      <c r="N16" s="5" t="s">
        <v>215</v>
      </c>
      <c r="O16" s="5" t="s">
        <v>196</v>
      </c>
    </row>
    <row r="17" spans="2:22" ht="18" customHeight="1" thickBot="1" x14ac:dyDescent="0.35">
      <c r="B17" s="1" t="s">
        <v>216</v>
      </c>
      <c r="M17" s="66" t="s">
        <v>199</v>
      </c>
      <c r="N17" s="138" t="str">
        <f>LEFT(M17,6)</f>
        <v>891001</v>
      </c>
      <c r="O17" s="15" t="s">
        <v>217</v>
      </c>
    </row>
    <row r="18" spans="2:22" ht="18" customHeight="1" thickBot="1" x14ac:dyDescent="0.35">
      <c r="B18" s="41" t="s">
        <v>87</v>
      </c>
      <c r="C18" s="93" t="s">
        <v>5</v>
      </c>
      <c r="D18" s="95"/>
      <c r="F18" s="139" t="s">
        <v>218</v>
      </c>
      <c r="G18" s="139"/>
      <c r="H18" s="140" t="s">
        <v>88</v>
      </c>
      <c r="I18" s="140"/>
      <c r="M18" s="66" t="s">
        <v>199</v>
      </c>
      <c r="N18" s="138" t="str">
        <f>LEFT(M18,7)</f>
        <v>891001-</v>
      </c>
      <c r="O18" s="15" t="s">
        <v>219</v>
      </c>
    </row>
    <row r="19" spans="2:22" ht="18" customHeight="1" x14ac:dyDescent="0.3">
      <c r="B19" s="96">
        <v>44044</v>
      </c>
      <c r="C19" s="141" t="str">
        <f>SUBSTITUTE(B19,"-","")</f>
        <v>44044</v>
      </c>
      <c r="D19" s="141"/>
      <c r="F19" s="142" t="s">
        <v>220</v>
      </c>
      <c r="G19" s="142"/>
      <c r="H19" s="143" t="str">
        <f>SUBSTITUTE(F19,"사랑","러브")</f>
        <v>내 러브 그대</v>
      </c>
      <c r="I19" s="143"/>
      <c r="M19" s="66" t="s">
        <v>199</v>
      </c>
      <c r="N19" s="138" t="str">
        <f>LEFT(M19,8)</f>
        <v>891001-1</v>
      </c>
      <c r="O19" s="15" t="s">
        <v>221</v>
      </c>
    </row>
    <row r="20" spans="2:22" ht="18" customHeight="1" x14ac:dyDescent="0.3">
      <c r="B20" s="70">
        <v>44075</v>
      </c>
      <c r="C20" s="144" t="str">
        <f>TEXT(SUBSTITUTE(B20,"-",""),"yyyymmdd")</f>
        <v>20200901</v>
      </c>
      <c r="D20" s="144"/>
      <c r="F20" s="145" t="s">
        <v>222</v>
      </c>
      <c r="G20" s="145"/>
      <c r="H20" s="146" t="str">
        <f>SUBSTITUTE(F20,"사랑","러브")</f>
        <v>그대만이 내 러브</v>
      </c>
      <c r="I20" s="146"/>
    </row>
    <row r="21" spans="2:22" ht="18" customHeight="1" thickBot="1" x14ac:dyDescent="0.35">
      <c r="B21" s="70">
        <v>44109</v>
      </c>
      <c r="C21" s="144" t="str">
        <f>TEXT(SUBSTITUTE(B21,"-",""),"mmdd")</f>
        <v>1005</v>
      </c>
      <c r="D21" s="144"/>
      <c r="F21" s="145" t="s">
        <v>223</v>
      </c>
      <c r="G21" s="145"/>
      <c r="H21" s="146" t="str">
        <f>SUBSTITUTE(F21,"사랑","러브")</f>
        <v>나는 당신을 러브 러브해</v>
      </c>
      <c r="I21" s="146"/>
      <c r="M21" s="1" t="s">
        <v>224</v>
      </c>
    </row>
    <row r="22" spans="2:22" ht="18" customHeight="1" thickBot="1" x14ac:dyDescent="0.35">
      <c r="M22" s="4" t="s">
        <v>224</v>
      </c>
      <c r="N22" s="111" t="s">
        <v>196</v>
      </c>
      <c r="O22" s="111"/>
      <c r="Q22" s="41" t="s">
        <v>225</v>
      </c>
      <c r="R22" s="5" t="s">
        <v>226</v>
      </c>
      <c r="S22" s="5" t="s">
        <v>227</v>
      </c>
      <c r="T22" s="5" t="s">
        <v>228</v>
      </c>
      <c r="U22" s="5" t="s">
        <v>229</v>
      </c>
      <c r="V22" s="5" t="s">
        <v>230</v>
      </c>
    </row>
    <row r="23" spans="2:22" ht="18" customHeight="1" thickBot="1" x14ac:dyDescent="0.35">
      <c r="B23" s="1" t="s">
        <v>231</v>
      </c>
      <c r="M23" s="147">
        <f ca="1">RAND()</f>
        <v>0.19493219900826708</v>
      </c>
      <c r="N23" s="148" t="s">
        <v>232</v>
      </c>
      <c r="O23" s="148"/>
      <c r="Q23" s="149">
        <v>0.87744999999999995</v>
      </c>
      <c r="R23" s="117">
        <v>100000000</v>
      </c>
      <c r="S23" s="150">
        <f ca="1">(1-RAND()*2)</f>
        <v>0.30563200520904665</v>
      </c>
      <c r="T23" s="117">
        <f ca="1">INT(Q23*R23*(1+(S23)/100))</f>
        <v>88013176</v>
      </c>
      <c r="U23" s="151">
        <f ca="1">T23/R23</f>
        <v>0.88013176000000004</v>
      </c>
      <c r="V23" s="152">
        <f ca="1">U23/Q23*100</f>
        <v>100.30563109009061</v>
      </c>
    </row>
    <row r="24" spans="2:22" ht="18" customHeight="1" thickBot="1" x14ac:dyDescent="0.35">
      <c r="B24" s="41" t="s">
        <v>233</v>
      </c>
      <c r="C24" s="5" t="s">
        <v>234</v>
      </c>
      <c r="D24" s="153" t="s">
        <v>235</v>
      </c>
      <c r="E24" s="93" t="s">
        <v>236</v>
      </c>
      <c r="F24" s="94"/>
      <c r="M24" s="154">
        <f ca="1">RAND()*(20-10)+10</f>
        <v>13.864695124493711</v>
      </c>
      <c r="N24" s="148" t="s">
        <v>237</v>
      </c>
      <c r="O24" s="148"/>
      <c r="Q24" s="155">
        <v>0.87744999999999995</v>
      </c>
      <c r="R24" s="81">
        <v>100000000</v>
      </c>
      <c r="S24" s="156">
        <f ca="1">(1-RAND()*2)</f>
        <v>0.64749597826316307</v>
      </c>
      <c r="T24" s="81">
        <f ca="1">INT(Q24*R24*(1+(S24)/100))</f>
        <v>88313145</v>
      </c>
      <c r="U24" s="157">
        <f ca="1">T24/R24</f>
        <v>0.88313145000000004</v>
      </c>
      <c r="V24" s="158">
        <f ca="1">U24/Q24*100</f>
        <v>100.64749558379395</v>
      </c>
    </row>
    <row r="25" spans="2:22" ht="18" customHeight="1" x14ac:dyDescent="0.3">
      <c r="B25" s="135">
        <v>50000000</v>
      </c>
      <c r="C25" s="159">
        <v>2.8000000000000001E-2</v>
      </c>
      <c r="D25" s="134">
        <f>ROUNDUP(B25*C25/365,0)</f>
        <v>3836</v>
      </c>
      <c r="E25" s="160" t="s">
        <v>238</v>
      </c>
      <c r="F25" s="161"/>
      <c r="M25" s="154">
        <f ca="1">(1-RAND()*2.5)</f>
        <v>-0.60300956518264215</v>
      </c>
      <c r="N25" s="162"/>
      <c r="O25" s="162"/>
      <c r="Q25" s="155">
        <v>0.87744999999999995</v>
      </c>
      <c r="R25" s="81">
        <v>100000000</v>
      </c>
      <c r="S25" s="156">
        <f ca="1">(1-RAND()*2)</f>
        <v>-0.79953961640517712</v>
      </c>
      <c r="T25" s="81">
        <f ca="1">INT(Q25*R25*(1+(S25)/100))</f>
        <v>87043443</v>
      </c>
      <c r="U25" s="157">
        <f ca="1">T25/R25</f>
        <v>0.87043442999999998</v>
      </c>
      <c r="V25" s="158">
        <f ca="1">U25/Q25*100</f>
        <v>99.200459285429375</v>
      </c>
    </row>
    <row r="26" spans="2:22" ht="18" customHeight="1" thickBot="1" x14ac:dyDescent="0.35">
      <c r="B26" s="137">
        <v>50000000</v>
      </c>
      <c r="C26" s="163">
        <v>2.8000000000000001E-2</v>
      </c>
      <c r="D26" s="136">
        <f>ROUNDUP(B26*C26/365,-1)</f>
        <v>3840</v>
      </c>
      <c r="E26" s="164" t="s">
        <v>239</v>
      </c>
      <c r="F26" s="165"/>
      <c r="M26" s="166"/>
      <c r="N26" s="167"/>
      <c r="O26" s="167"/>
      <c r="Q26" s="168"/>
      <c r="R26" s="43"/>
      <c r="S26" s="169"/>
      <c r="T26" s="43"/>
      <c r="U26" s="170"/>
      <c r="V26" s="171"/>
    </row>
    <row r="27" spans="2:22" ht="18" customHeight="1" thickBot="1" x14ac:dyDescent="0.35">
      <c r="B27" s="137">
        <v>50000000</v>
      </c>
      <c r="C27" s="163">
        <v>2.8000000000000001E-2</v>
      </c>
      <c r="D27" s="136">
        <f>ROUNDUP(B27*C27/365,-2)</f>
        <v>3900</v>
      </c>
      <c r="E27" s="172" t="s">
        <v>240</v>
      </c>
      <c r="F27" s="173"/>
      <c r="M27" s="41" t="s">
        <v>241</v>
      </c>
      <c r="N27" s="174" t="s">
        <v>224</v>
      </c>
      <c r="O27" s="174" t="s">
        <v>242</v>
      </c>
      <c r="Q27" s="168"/>
      <c r="R27" s="43"/>
      <c r="S27" s="169"/>
      <c r="T27" s="43"/>
      <c r="U27" s="170"/>
      <c r="V27" s="171"/>
    </row>
    <row r="28" spans="2:22" ht="18" customHeight="1" x14ac:dyDescent="0.3">
      <c r="M28" s="135">
        <f ca="1">RANK(N28,$N$28:$N$37,0)</f>
        <v>7</v>
      </c>
      <c r="N28" s="175">
        <f ca="1">RAND()</f>
        <v>0.39959763947007754</v>
      </c>
      <c r="O28" s="135">
        <f ca="1">COUNTIF($M$28:$M$37,M28)</f>
        <v>1</v>
      </c>
      <c r="Q28" s="168"/>
      <c r="R28" s="43"/>
      <c r="S28" s="169"/>
      <c r="T28" s="43"/>
      <c r="U28" s="170"/>
      <c r="V28" s="171"/>
    </row>
    <row r="29" spans="2:22" ht="18" customHeight="1" thickBot="1" x14ac:dyDescent="0.35">
      <c r="B29" s="1" t="s">
        <v>243</v>
      </c>
      <c r="M29" s="137">
        <f ca="1">RANK(N29,$N$28:$N$37,0)</f>
        <v>3</v>
      </c>
      <c r="N29" s="176">
        <f t="shared" ref="N29:N37" ca="1" si="0">RAND()</f>
        <v>0.85546946850376204</v>
      </c>
      <c r="O29" s="137">
        <f ca="1">COUNTIF($M$28:$M$37,M29)</f>
        <v>1</v>
      </c>
      <c r="Q29" s="168"/>
      <c r="R29" s="43"/>
      <c r="S29" s="169"/>
      <c r="T29" s="43"/>
      <c r="U29" s="170"/>
      <c r="V29" s="171"/>
    </row>
    <row r="30" spans="2:22" ht="18" customHeight="1" thickBot="1" x14ac:dyDescent="0.35">
      <c r="B30" s="41" t="s">
        <v>233</v>
      </c>
      <c r="C30" s="5" t="s">
        <v>234</v>
      </c>
      <c r="D30" s="153" t="s">
        <v>244</v>
      </c>
      <c r="E30" s="93" t="s">
        <v>245</v>
      </c>
      <c r="F30" s="94"/>
      <c r="M30" s="137">
        <f ca="1">RANK(N30,$N$28:$N$37,0)</f>
        <v>9</v>
      </c>
      <c r="N30" s="176">
        <f t="shared" ca="1" si="0"/>
        <v>6.9806181661025479E-2</v>
      </c>
      <c r="O30" s="137">
        <f ca="1">COUNTIF($M$28:$M$37,M30)</f>
        <v>1</v>
      </c>
      <c r="Q30" s="168"/>
      <c r="R30" s="43"/>
      <c r="S30" s="169"/>
      <c r="T30" s="43"/>
      <c r="U30" s="170"/>
      <c r="V30" s="171"/>
    </row>
    <row r="31" spans="2:22" ht="18" customHeight="1" x14ac:dyDescent="0.3">
      <c r="B31" s="135">
        <v>50000000</v>
      </c>
      <c r="C31" s="159">
        <v>2.8000000000000001E-2</v>
      </c>
      <c r="D31" s="134">
        <f>ROUNDDOWN(B31*C31/365,0)</f>
        <v>3835</v>
      </c>
      <c r="E31" s="160" t="s">
        <v>246</v>
      </c>
      <c r="F31" s="161"/>
      <c r="M31" s="137">
        <f ca="1">RANK(N31,$N$28:$N$37,0)</f>
        <v>8</v>
      </c>
      <c r="N31" s="176">
        <f t="shared" ca="1" si="0"/>
        <v>0.18672978806001383</v>
      </c>
      <c r="O31" s="137">
        <f ca="1">COUNTIF($M$28:$M$37,M31)</f>
        <v>1</v>
      </c>
      <c r="Q31" s="168"/>
      <c r="R31" s="43"/>
      <c r="S31" s="169"/>
      <c r="T31" s="43"/>
      <c r="U31" s="170"/>
      <c r="V31" s="171"/>
    </row>
    <row r="32" spans="2:22" ht="18" customHeight="1" x14ac:dyDescent="0.3">
      <c r="B32" s="137">
        <v>50000000</v>
      </c>
      <c r="C32" s="163">
        <v>2.8000000000000001E-2</v>
      </c>
      <c r="D32" s="136">
        <f>ROUNDDOWN(B32*C32/365,-1)</f>
        <v>3830</v>
      </c>
      <c r="E32" s="164" t="s">
        <v>247</v>
      </c>
      <c r="F32" s="165"/>
      <c r="M32" s="137">
        <f ca="1">RANK(N32,$N$28:$N$37,0)</f>
        <v>4</v>
      </c>
      <c r="N32" s="176">
        <f t="shared" ca="1" si="0"/>
        <v>0.72779428834573945</v>
      </c>
      <c r="O32" s="137">
        <f ca="1">COUNTIF($M$28:$M$37,M32)</f>
        <v>1</v>
      </c>
      <c r="Q32" s="168"/>
      <c r="R32" s="43"/>
      <c r="S32" s="169"/>
      <c r="T32" s="43"/>
      <c r="U32" s="170"/>
      <c r="V32" s="171"/>
    </row>
    <row r="33" spans="2:22" ht="18" customHeight="1" x14ac:dyDescent="0.3">
      <c r="B33" s="137">
        <v>50000000</v>
      </c>
      <c r="C33" s="163">
        <v>2.8000000000000001E-2</v>
      </c>
      <c r="D33" s="136">
        <f>ROUNDDOWN(B33*C33/365,-2)</f>
        <v>3800</v>
      </c>
      <c r="E33" s="172" t="s">
        <v>248</v>
      </c>
      <c r="F33" s="173"/>
      <c r="M33" s="137">
        <f ca="1">RANK(N33,$N$28:$N$37,0)</f>
        <v>2</v>
      </c>
      <c r="N33" s="176">
        <f t="shared" ca="1" si="0"/>
        <v>0.92880412008630875</v>
      </c>
      <c r="O33" s="137">
        <f ca="1">COUNTIF($M$28:$M$37,M33)</f>
        <v>1</v>
      </c>
      <c r="Q33" s="168"/>
      <c r="R33" s="43"/>
      <c r="S33" s="169"/>
      <c r="T33" s="43"/>
      <c r="U33" s="170"/>
      <c r="V33" s="171"/>
    </row>
    <row r="34" spans="2:22" ht="18" customHeight="1" x14ac:dyDescent="0.3">
      <c r="M34" s="137">
        <f ca="1">RANK(N34,$N$28:$N$37,0)</f>
        <v>10</v>
      </c>
      <c r="N34" s="176">
        <f t="shared" ca="1" si="0"/>
        <v>5.424675550884106E-2</v>
      </c>
      <c r="O34" s="137">
        <f ca="1">COUNTIF($M$28:$M$37,M34)</f>
        <v>1</v>
      </c>
      <c r="Q34" s="168"/>
      <c r="R34" s="43"/>
      <c r="S34" s="169"/>
      <c r="T34" s="43"/>
      <c r="U34" s="170"/>
      <c r="V34" s="171"/>
    </row>
    <row r="35" spans="2:22" ht="18" customHeight="1" thickBot="1" x14ac:dyDescent="0.35">
      <c r="B35" s="1" t="s">
        <v>249</v>
      </c>
      <c r="M35" s="137">
        <f ca="1">RANK(N35,$N$28:$N$37,0)</f>
        <v>6</v>
      </c>
      <c r="N35" s="176">
        <f t="shared" ca="1" si="0"/>
        <v>0.53258501128427871</v>
      </c>
      <c r="O35" s="137">
        <f ca="1">COUNTIF($M$28:$M$37,M35)</f>
        <v>1</v>
      </c>
      <c r="Q35" s="168"/>
      <c r="R35" s="43"/>
      <c r="S35" s="169"/>
      <c r="T35" s="43"/>
      <c r="U35" s="170"/>
      <c r="V35" s="171"/>
    </row>
    <row r="36" spans="2:22" ht="18" customHeight="1" thickBot="1" x14ac:dyDescent="0.35">
      <c r="B36" s="177" t="s">
        <v>190</v>
      </c>
      <c r="C36" s="178" t="s">
        <v>250</v>
      </c>
      <c r="D36" s="178" t="s">
        <v>251</v>
      </c>
      <c r="E36" s="177" t="s">
        <v>252</v>
      </c>
      <c r="M36" s="137">
        <f ca="1">RANK(N36,$N$28:$N$37,0)</f>
        <v>1</v>
      </c>
      <c r="N36" s="176">
        <f t="shared" ca="1" si="0"/>
        <v>0.94365140678957227</v>
      </c>
      <c r="O36" s="137">
        <f ca="1">COUNTIF($M$28:$M$37,M36)</f>
        <v>1</v>
      </c>
      <c r="Q36" s="168"/>
      <c r="R36" s="43"/>
      <c r="S36" s="169"/>
      <c r="T36" s="43"/>
      <c r="U36" s="170"/>
      <c r="V36" s="171"/>
    </row>
    <row r="37" spans="2:22" ht="18" customHeight="1" x14ac:dyDescent="0.3">
      <c r="B37" s="135">
        <v>52650250</v>
      </c>
      <c r="C37" s="159">
        <v>0.127</v>
      </c>
      <c r="D37" s="179">
        <f>INT(B37*C37)</f>
        <v>6686581</v>
      </c>
      <c r="E37" s="180">
        <f>B37*C37</f>
        <v>6686581.75</v>
      </c>
      <c r="M37" s="137">
        <f ca="1">RANK(N37,$N$28:$N$37,0)</f>
        <v>5</v>
      </c>
      <c r="N37" s="176">
        <f t="shared" ca="1" si="0"/>
        <v>0.64364169934422788</v>
      </c>
      <c r="O37" s="137">
        <f ca="1">COUNTIF($M$28:$M$37,M37)</f>
        <v>1</v>
      </c>
      <c r="Q37" s="168"/>
      <c r="R37" s="43"/>
      <c r="S37" s="169"/>
      <c r="T37" s="43"/>
      <c r="U37" s="170"/>
      <c r="V37" s="171"/>
    </row>
    <row r="38" spans="2:22" ht="18" customHeight="1" x14ac:dyDescent="0.3">
      <c r="B38" s="137">
        <v>52650250</v>
      </c>
      <c r="C38" s="163">
        <v>2.5000000000000001E-2</v>
      </c>
      <c r="D38" s="181">
        <f>INT(B38*C38)</f>
        <v>1316256</v>
      </c>
      <c r="E38" s="182">
        <f>B38*C38</f>
        <v>1316256.25</v>
      </c>
      <c r="M38" s="2" t="s">
        <v>253</v>
      </c>
    </row>
    <row r="40" spans="2:22" ht="18" customHeight="1" thickBot="1" x14ac:dyDescent="0.35">
      <c r="B40" s="1" t="s">
        <v>254</v>
      </c>
      <c r="M40" s="1" t="s">
        <v>255</v>
      </c>
    </row>
    <row r="41" spans="2:22" ht="18" customHeight="1" thickBot="1" x14ac:dyDescent="0.35">
      <c r="B41" s="41" t="s">
        <v>190</v>
      </c>
      <c r="C41" s="174">
        <v>2.5000000000000001E-2</v>
      </c>
      <c r="D41" s="5" t="s">
        <v>254</v>
      </c>
      <c r="F41" s="41" t="s">
        <v>190</v>
      </c>
      <c r="G41" s="5" t="s">
        <v>191</v>
      </c>
      <c r="H41" s="5" t="s">
        <v>192</v>
      </c>
      <c r="M41" s="4" t="s">
        <v>255</v>
      </c>
      <c r="N41" s="111" t="s">
        <v>196</v>
      </c>
      <c r="O41" s="111"/>
      <c r="Q41" s="74" t="s">
        <v>256</v>
      </c>
      <c r="R41" s="183"/>
      <c r="S41" s="183"/>
      <c r="T41" s="183"/>
      <c r="U41" s="183"/>
      <c r="V41" s="183"/>
    </row>
    <row r="42" spans="2:22" ht="18" customHeight="1" x14ac:dyDescent="0.3">
      <c r="B42" s="135">
        <v>12528200</v>
      </c>
      <c r="C42" s="135">
        <f>B42*0.025</f>
        <v>313205</v>
      </c>
      <c r="D42" s="134">
        <f>TRUNC(B42*0.025,-4)</f>
        <v>310000</v>
      </c>
      <c r="F42" s="135">
        <v>12528200</v>
      </c>
      <c r="G42" s="117">
        <f>F42*0.025</f>
        <v>313205</v>
      </c>
      <c r="H42" s="134">
        <f>IF(VALUE(RIGHT(F42*0.025,4))&lt;5000,TRUNC(F42*0.025,-4),TRUNC(F42*0.025,-4)+5000)</f>
        <v>310000</v>
      </c>
      <c r="M42" s="184">
        <f ca="1">RANDBETWEEN(0,10)</f>
        <v>7</v>
      </c>
      <c r="N42" s="148" t="s">
        <v>257</v>
      </c>
      <c r="O42" s="148"/>
      <c r="Q42" s="184">
        <f ca="1">RANDBETWEEN(1,45)</f>
        <v>14</v>
      </c>
      <c r="R42" s="184">
        <f t="shared" ref="R42:U43" ca="1" si="1">RANDBETWEEN(1,45)</f>
        <v>45</v>
      </c>
      <c r="S42" s="184">
        <f t="shared" ca="1" si="1"/>
        <v>17</v>
      </c>
      <c r="T42" s="184">
        <f t="shared" ca="1" si="1"/>
        <v>28</v>
      </c>
      <c r="U42" s="184">
        <f t="shared" ca="1" si="1"/>
        <v>32</v>
      </c>
      <c r="V42" s="184">
        <f ca="1">RANDBETWEEN(1,45)</f>
        <v>12</v>
      </c>
    </row>
    <row r="43" spans="2:22" ht="18" customHeight="1" x14ac:dyDescent="0.3">
      <c r="B43" s="137">
        <v>23500000</v>
      </c>
      <c r="C43" s="137">
        <f>B43*0.025</f>
        <v>587500</v>
      </c>
      <c r="D43" s="136">
        <f>TRUNC(B43*0.025,-4)</f>
        <v>580000</v>
      </c>
      <c r="F43" s="137">
        <v>23500000</v>
      </c>
      <c r="G43" s="81">
        <f>F43*2.5%</f>
        <v>587500</v>
      </c>
      <c r="H43" s="136">
        <f>IF(VALUE(RIGHT(F43*0.025,4))&lt;5000,TRUNC(F43*0.025,-4),TRUNC(F43*0.025,-4)+5000)</f>
        <v>585000</v>
      </c>
      <c r="M43" s="185" t="str">
        <f ca="1">RANDBETWEEN(86,89)&amp;"."&amp;RANDBETWEEN(0,9)&amp;RANDBETWEEN(0,9)&amp;RANDBETWEEN(0,9)</f>
        <v>86.778</v>
      </c>
      <c r="N43" s="148" t="s">
        <v>258</v>
      </c>
      <c r="O43" s="148"/>
      <c r="Q43" s="184">
        <f ca="1">RANDBETWEEN(1,45)</f>
        <v>40</v>
      </c>
      <c r="R43" s="184">
        <f t="shared" ca="1" si="1"/>
        <v>38</v>
      </c>
      <c r="S43" s="184">
        <f t="shared" ca="1" si="1"/>
        <v>43</v>
      </c>
      <c r="T43" s="184">
        <f t="shared" ca="1" si="1"/>
        <v>5</v>
      </c>
      <c r="U43" s="184">
        <f t="shared" ca="1" si="1"/>
        <v>36</v>
      </c>
      <c r="V43" s="184">
        <f ca="1">RANDBETWEEN(1,45)</f>
        <v>8</v>
      </c>
    </row>
    <row r="44" spans="2:22" ht="18" customHeight="1" x14ac:dyDescent="0.3">
      <c r="M44" s="2" t="s">
        <v>259</v>
      </c>
    </row>
    <row r="45" spans="2:22" ht="18" customHeight="1" thickBot="1" x14ac:dyDescent="0.35">
      <c r="B45" s="1" t="s">
        <v>260</v>
      </c>
      <c r="M45" s="58"/>
    </row>
    <row r="46" spans="2:22" ht="18" customHeight="1" thickBot="1" x14ac:dyDescent="0.35">
      <c r="B46" s="41" t="s">
        <v>87</v>
      </c>
      <c r="C46" s="5" t="s">
        <v>260</v>
      </c>
      <c r="E46" s="41" t="s">
        <v>56</v>
      </c>
      <c r="F46" s="5" t="s">
        <v>261</v>
      </c>
      <c r="G46" s="5" t="s">
        <v>262</v>
      </c>
    </row>
    <row r="47" spans="2:22" ht="18" customHeight="1" x14ac:dyDescent="0.3">
      <c r="B47" s="96">
        <v>44044</v>
      </c>
      <c r="C47" s="97">
        <f>MAX(B47:B49)</f>
        <v>44109</v>
      </c>
      <c r="E47" s="96" t="s">
        <v>263</v>
      </c>
      <c r="F47" s="116">
        <v>100</v>
      </c>
      <c r="G47" s="134" t="str">
        <f>IF(MAX($F$47:$F$50)=F47,"1",RANK(F47,$F$47:$F$50))&amp;"등"</f>
        <v>1등</v>
      </c>
    </row>
    <row r="48" spans="2:22" ht="18" customHeight="1" x14ac:dyDescent="0.3">
      <c r="B48" s="70">
        <v>44075</v>
      </c>
      <c r="C48" s="124"/>
      <c r="E48" s="70" t="s">
        <v>264</v>
      </c>
      <c r="F48" s="23">
        <v>70</v>
      </c>
      <c r="G48" s="136" t="str">
        <f>IF(MAX($F$47:$F$50)=F48,"1",RANK(F48,$F$47:$F$50))&amp;"등"</f>
        <v>4등</v>
      </c>
    </row>
    <row r="49" spans="2:7" ht="18" customHeight="1" x14ac:dyDescent="0.3">
      <c r="B49" s="70">
        <v>44109</v>
      </c>
      <c r="C49" s="124"/>
      <c r="E49" s="70" t="s">
        <v>265</v>
      </c>
      <c r="F49" s="23">
        <v>95</v>
      </c>
      <c r="G49" s="136" t="str">
        <f>IF(MAX($F$47:$F$50)=F49,"1",RANK(F49,$F$47:$F$50))&amp;"등"</f>
        <v>2등</v>
      </c>
    </row>
    <row r="50" spans="2:7" ht="18" customHeight="1" x14ac:dyDescent="0.3">
      <c r="E50" s="70" t="s">
        <v>266</v>
      </c>
      <c r="F50" s="23">
        <v>95</v>
      </c>
      <c r="G50" s="136" t="str">
        <f>IF(MAX($F$47:$F$50)=F50,"1",RANK(F50,$F$47:$F$50))&amp;"등"</f>
        <v>2등</v>
      </c>
    </row>
    <row r="52" spans="2:7" ht="18" customHeight="1" thickBot="1" x14ac:dyDescent="0.35">
      <c r="B52" s="1" t="s">
        <v>267</v>
      </c>
    </row>
    <row r="53" spans="2:7" ht="18" customHeight="1" thickBot="1" x14ac:dyDescent="0.35">
      <c r="B53" s="41" t="s">
        <v>87</v>
      </c>
      <c r="C53" s="5" t="s">
        <v>267</v>
      </c>
      <c r="E53" s="5" t="s">
        <v>111</v>
      </c>
      <c r="F53" s="5" t="s">
        <v>267</v>
      </c>
    </row>
    <row r="54" spans="2:7" ht="18" customHeight="1" x14ac:dyDescent="0.3">
      <c r="B54" s="96">
        <v>44044</v>
      </c>
      <c r="C54" s="97">
        <f>MIN(B54:B56)</f>
        <v>44044</v>
      </c>
      <c r="E54" s="117">
        <v>1000000</v>
      </c>
      <c r="F54" s="134">
        <f>MIN(E54:E56)</f>
        <v>600000</v>
      </c>
    </row>
    <row r="55" spans="2:7" ht="18" customHeight="1" x14ac:dyDescent="0.3">
      <c r="B55" s="70">
        <v>44075</v>
      </c>
      <c r="C55" s="124"/>
      <c r="E55" s="81">
        <v>1400000</v>
      </c>
      <c r="F55" s="136"/>
    </row>
    <row r="56" spans="2:7" ht="18" customHeight="1" x14ac:dyDescent="0.3">
      <c r="B56" s="70">
        <v>44109</v>
      </c>
      <c r="C56" s="124"/>
      <c r="E56" s="81">
        <v>600000</v>
      </c>
      <c r="F56" s="136"/>
    </row>
    <row r="102" spans="2:2" ht="18" customHeight="1" x14ac:dyDescent="0.3">
      <c r="B102" s="58"/>
    </row>
  </sheetData>
  <mergeCells count="35">
    <mergeCell ref="N41:O41"/>
    <mergeCell ref="Q41:V41"/>
    <mergeCell ref="N42:O42"/>
    <mergeCell ref="N43:O43"/>
    <mergeCell ref="E26:F26"/>
    <mergeCell ref="E27:F27"/>
    <mergeCell ref="E30:F30"/>
    <mergeCell ref="E31:F31"/>
    <mergeCell ref="E32:F32"/>
    <mergeCell ref="E33:F33"/>
    <mergeCell ref="N22:O22"/>
    <mergeCell ref="N23:O23"/>
    <mergeCell ref="E24:F24"/>
    <mergeCell ref="N24:O24"/>
    <mergeCell ref="E25:F25"/>
    <mergeCell ref="N25:O25"/>
    <mergeCell ref="C20:D20"/>
    <mergeCell ref="F20:G20"/>
    <mergeCell ref="H20:I20"/>
    <mergeCell ref="C21:D21"/>
    <mergeCell ref="F21:G21"/>
    <mergeCell ref="H21:I21"/>
    <mergeCell ref="C15:F15"/>
    <mergeCell ref="C18:D18"/>
    <mergeCell ref="F18:G18"/>
    <mergeCell ref="H18:I18"/>
    <mergeCell ref="C19:D19"/>
    <mergeCell ref="F19:G19"/>
    <mergeCell ref="H19:I19"/>
    <mergeCell ref="R3:S3"/>
    <mergeCell ref="R4:S4"/>
    <mergeCell ref="R5:S5"/>
    <mergeCell ref="R6:S6"/>
    <mergeCell ref="C13:F13"/>
    <mergeCell ref="C14:F14"/>
  </mergeCells>
  <phoneticPr fontId="3" type="noConversion"/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70DA-E53F-4247-8DA8-A45CAE3442E3}">
  <dimension ref="A2:L68"/>
  <sheetViews>
    <sheetView showGridLines="0" topLeftCell="A10" workbookViewId="0">
      <selection activeCell="E24" sqref="E24"/>
    </sheetView>
  </sheetViews>
  <sheetFormatPr defaultRowHeight="20.100000000000001" customHeight="1" x14ac:dyDescent="0.3"/>
  <cols>
    <col min="1" max="1" width="2.5" style="13" customWidth="1"/>
    <col min="2" max="3" width="12.5" style="13" customWidth="1"/>
    <col min="4" max="4" width="14.5" style="13" customWidth="1"/>
    <col min="5" max="6" width="12.5" style="13" customWidth="1"/>
    <col min="7" max="7" width="11.75" style="13" customWidth="1"/>
    <col min="8" max="8" width="10.75" style="13" customWidth="1"/>
    <col min="9" max="256" width="9" style="13"/>
    <col min="257" max="257" width="2.5" style="13" customWidth="1"/>
    <col min="258" max="259" width="12.5" style="13" customWidth="1"/>
    <col min="260" max="260" width="14.5" style="13" customWidth="1"/>
    <col min="261" max="262" width="12.5" style="13" customWidth="1"/>
    <col min="263" max="263" width="11.75" style="13" customWidth="1"/>
    <col min="264" max="264" width="10.75" style="13" customWidth="1"/>
    <col min="265" max="512" width="9" style="13"/>
    <col min="513" max="513" width="2.5" style="13" customWidth="1"/>
    <col min="514" max="515" width="12.5" style="13" customWidth="1"/>
    <col min="516" max="516" width="14.5" style="13" customWidth="1"/>
    <col min="517" max="518" width="12.5" style="13" customWidth="1"/>
    <col min="519" max="519" width="11.75" style="13" customWidth="1"/>
    <col min="520" max="520" width="10.75" style="13" customWidth="1"/>
    <col min="521" max="768" width="9" style="13"/>
    <col min="769" max="769" width="2.5" style="13" customWidth="1"/>
    <col min="770" max="771" width="12.5" style="13" customWidth="1"/>
    <col min="772" max="772" width="14.5" style="13" customWidth="1"/>
    <col min="773" max="774" width="12.5" style="13" customWidth="1"/>
    <col min="775" max="775" width="11.75" style="13" customWidth="1"/>
    <col min="776" max="776" width="10.75" style="13" customWidth="1"/>
    <col min="777" max="1024" width="9" style="13"/>
    <col min="1025" max="1025" width="2.5" style="13" customWidth="1"/>
    <col min="1026" max="1027" width="12.5" style="13" customWidth="1"/>
    <col min="1028" max="1028" width="14.5" style="13" customWidth="1"/>
    <col min="1029" max="1030" width="12.5" style="13" customWidth="1"/>
    <col min="1031" max="1031" width="11.75" style="13" customWidth="1"/>
    <col min="1032" max="1032" width="10.75" style="13" customWidth="1"/>
    <col min="1033" max="1280" width="9" style="13"/>
    <col min="1281" max="1281" width="2.5" style="13" customWidth="1"/>
    <col min="1282" max="1283" width="12.5" style="13" customWidth="1"/>
    <col min="1284" max="1284" width="14.5" style="13" customWidth="1"/>
    <col min="1285" max="1286" width="12.5" style="13" customWidth="1"/>
    <col min="1287" max="1287" width="11.75" style="13" customWidth="1"/>
    <col min="1288" max="1288" width="10.75" style="13" customWidth="1"/>
    <col min="1289" max="1536" width="9" style="13"/>
    <col min="1537" max="1537" width="2.5" style="13" customWidth="1"/>
    <col min="1538" max="1539" width="12.5" style="13" customWidth="1"/>
    <col min="1540" max="1540" width="14.5" style="13" customWidth="1"/>
    <col min="1541" max="1542" width="12.5" style="13" customWidth="1"/>
    <col min="1543" max="1543" width="11.75" style="13" customWidth="1"/>
    <col min="1544" max="1544" width="10.75" style="13" customWidth="1"/>
    <col min="1545" max="1792" width="9" style="13"/>
    <col min="1793" max="1793" width="2.5" style="13" customWidth="1"/>
    <col min="1794" max="1795" width="12.5" style="13" customWidth="1"/>
    <col min="1796" max="1796" width="14.5" style="13" customWidth="1"/>
    <col min="1797" max="1798" width="12.5" style="13" customWidth="1"/>
    <col min="1799" max="1799" width="11.75" style="13" customWidth="1"/>
    <col min="1800" max="1800" width="10.75" style="13" customWidth="1"/>
    <col min="1801" max="2048" width="9" style="13"/>
    <col min="2049" max="2049" width="2.5" style="13" customWidth="1"/>
    <col min="2050" max="2051" width="12.5" style="13" customWidth="1"/>
    <col min="2052" max="2052" width="14.5" style="13" customWidth="1"/>
    <col min="2053" max="2054" width="12.5" style="13" customWidth="1"/>
    <col min="2055" max="2055" width="11.75" style="13" customWidth="1"/>
    <col min="2056" max="2056" width="10.75" style="13" customWidth="1"/>
    <col min="2057" max="2304" width="9" style="13"/>
    <col min="2305" max="2305" width="2.5" style="13" customWidth="1"/>
    <col min="2306" max="2307" width="12.5" style="13" customWidth="1"/>
    <col min="2308" max="2308" width="14.5" style="13" customWidth="1"/>
    <col min="2309" max="2310" width="12.5" style="13" customWidth="1"/>
    <col min="2311" max="2311" width="11.75" style="13" customWidth="1"/>
    <col min="2312" max="2312" width="10.75" style="13" customWidth="1"/>
    <col min="2313" max="2560" width="9" style="13"/>
    <col min="2561" max="2561" width="2.5" style="13" customWidth="1"/>
    <col min="2562" max="2563" width="12.5" style="13" customWidth="1"/>
    <col min="2564" max="2564" width="14.5" style="13" customWidth="1"/>
    <col min="2565" max="2566" width="12.5" style="13" customWidth="1"/>
    <col min="2567" max="2567" width="11.75" style="13" customWidth="1"/>
    <col min="2568" max="2568" width="10.75" style="13" customWidth="1"/>
    <col min="2569" max="2816" width="9" style="13"/>
    <col min="2817" max="2817" width="2.5" style="13" customWidth="1"/>
    <col min="2818" max="2819" width="12.5" style="13" customWidth="1"/>
    <col min="2820" max="2820" width="14.5" style="13" customWidth="1"/>
    <col min="2821" max="2822" width="12.5" style="13" customWidth="1"/>
    <col min="2823" max="2823" width="11.75" style="13" customWidth="1"/>
    <col min="2824" max="2824" width="10.75" style="13" customWidth="1"/>
    <col min="2825" max="3072" width="9" style="13"/>
    <col min="3073" max="3073" width="2.5" style="13" customWidth="1"/>
    <col min="3074" max="3075" width="12.5" style="13" customWidth="1"/>
    <col min="3076" max="3076" width="14.5" style="13" customWidth="1"/>
    <col min="3077" max="3078" width="12.5" style="13" customWidth="1"/>
    <col min="3079" max="3079" width="11.75" style="13" customWidth="1"/>
    <col min="3080" max="3080" width="10.75" style="13" customWidth="1"/>
    <col min="3081" max="3328" width="9" style="13"/>
    <col min="3329" max="3329" width="2.5" style="13" customWidth="1"/>
    <col min="3330" max="3331" width="12.5" style="13" customWidth="1"/>
    <col min="3332" max="3332" width="14.5" style="13" customWidth="1"/>
    <col min="3333" max="3334" width="12.5" style="13" customWidth="1"/>
    <col min="3335" max="3335" width="11.75" style="13" customWidth="1"/>
    <col min="3336" max="3336" width="10.75" style="13" customWidth="1"/>
    <col min="3337" max="3584" width="9" style="13"/>
    <col min="3585" max="3585" width="2.5" style="13" customWidth="1"/>
    <col min="3586" max="3587" width="12.5" style="13" customWidth="1"/>
    <col min="3588" max="3588" width="14.5" style="13" customWidth="1"/>
    <col min="3589" max="3590" width="12.5" style="13" customWidth="1"/>
    <col min="3591" max="3591" width="11.75" style="13" customWidth="1"/>
    <col min="3592" max="3592" width="10.75" style="13" customWidth="1"/>
    <col min="3593" max="3840" width="9" style="13"/>
    <col min="3841" max="3841" width="2.5" style="13" customWidth="1"/>
    <col min="3842" max="3843" width="12.5" style="13" customWidth="1"/>
    <col min="3844" max="3844" width="14.5" style="13" customWidth="1"/>
    <col min="3845" max="3846" width="12.5" style="13" customWidth="1"/>
    <col min="3847" max="3847" width="11.75" style="13" customWidth="1"/>
    <col min="3848" max="3848" width="10.75" style="13" customWidth="1"/>
    <col min="3849" max="4096" width="9" style="13"/>
    <col min="4097" max="4097" width="2.5" style="13" customWidth="1"/>
    <col min="4098" max="4099" width="12.5" style="13" customWidth="1"/>
    <col min="4100" max="4100" width="14.5" style="13" customWidth="1"/>
    <col min="4101" max="4102" width="12.5" style="13" customWidth="1"/>
    <col min="4103" max="4103" width="11.75" style="13" customWidth="1"/>
    <col min="4104" max="4104" width="10.75" style="13" customWidth="1"/>
    <col min="4105" max="4352" width="9" style="13"/>
    <col min="4353" max="4353" width="2.5" style="13" customWidth="1"/>
    <col min="4354" max="4355" width="12.5" style="13" customWidth="1"/>
    <col min="4356" max="4356" width="14.5" style="13" customWidth="1"/>
    <col min="4357" max="4358" width="12.5" style="13" customWidth="1"/>
    <col min="4359" max="4359" width="11.75" style="13" customWidth="1"/>
    <col min="4360" max="4360" width="10.75" style="13" customWidth="1"/>
    <col min="4361" max="4608" width="9" style="13"/>
    <col min="4609" max="4609" width="2.5" style="13" customWidth="1"/>
    <col min="4610" max="4611" width="12.5" style="13" customWidth="1"/>
    <col min="4612" max="4612" width="14.5" style="13" customWidth="1"/>
    <col min="4613" max="4614" width="12.5" style="13" customWidth="1"/>
    <col min="4615" max="4615" width="11.75" style="13" customWidth="1"/>
    <col min="4616" max="4616" width="10.75" style="13" customWidth="1"/>
    <col min="4617" max="4864" width="9" style="13"/>
    <col min="4865" max="4865" width="2.5" style="13" customWidth="1"/>
    <col min="4866" max="4867" width="12.5" style="13" customWidth="1"/>
    <col min="4868" max="4868" width="14.5" style="13" customWidth="1"/>
    <col min="4869" max="4870" width="12.5" style="13" customWidth="1"/>
    <col min="4871" max="4871" width="11.75" style="13" customWidth="1"/>
    <col min="4872" max="4872" width="10.75" style="13" customWidth="1"/>
    <col min="4873" max="5120" width="9" style="13"/>
    <col min="5121" max="5121" width="2.5" style="13" customWidth="1"/>
    <col min="5122" max="5123" width="12.5" style="13" customWidth="1"/>
    <col min="5124" max="5124" width="14.5" style="13" customWidth="1"/>
    <col min="5125" max="5126" width="12.5" style="13" customWidth="1"/>
    <col min="5127" max="5127" width="11.75" style="13" customWidth="1"/>
    <col min="5128" max="5128" width="10.75" style="13" customWidth="1"/>
    <col min="5129" max="5376" width="9" style="13"/>
    <col min="5377" max="5377" width="2.5" style="13" customWidth="1"/>
    <col min="5378" max="5379" width="12.5" style="13" customWidth="1"/>
    <col min="5380" max="5380" width="14.5" style="13" customWidth="1"/>
    <col min="5381" max="5382" width="12.5" style="13" customWidth="1"/>
    <col min="5383" max="5383" width="11.75" style="13" customWidth="1"/>
    <col min="5384" max="5384" width="10.75" style="13" customWidth="1"/>
    <col min="5385" max="5632" width="9" style="13"/>
    <col min="5633" max="5633" width="2.5" style="13" customWidth="1"/>
    <col min="5634" max="5635" width="12.5" style="13" customWidth="1"/>
    <col min="5636" max="5636" width="14.5" style="13" customWidth="1"/>
    <col min="5637" max="5638" width="12.5" style="13" customWidth="1"/>
    <col min="5639" max="5639" width="11.75" style="13" customWidth="1"/>
    <col min="5640" max="5640" width="10.75" style="13" customWidth="1"/>
    <col min="5641" max="5888" width="9" style="13"/>
    <col min="5889" max="5889" width="2.5" style="13" customWidth="1"/>
    <col min="5890" max="5891" width="12.5" style="13" customWidth="1"/>
    <col min="5892" max="5892" width="14.5" style="13" customWidth="1"/>
    <col min="5893" max="5894" width="12.5" style="13" customWidth="1"/>
    <col min="5895" max="5895" width="11.75" style="13" customWidth="1"/>
    <col min="5896" max="5896" width="10.75" style="13" customWidth="1"/>
    <col min="5897" max="6144" width="9" style="13"/>
    <col min="6145" max="6145" width="2.5" style="13" customWidth="1"/>
    <col min="6146" max="6147" width="12.5" style="13" customWidth="1"/>
    <col min="6148" max="6148" width="14.5" style="13" customWidth="1"/>
    <col min="6149" max="6150" width="12.5" style="13" customWidth="1"/>
    <col min="6151" max="6151" width="11.75" style="13" customWidth="1"/>
    <col min="6152" max="6152" width="10.75" style="13" customWidth="1"/>
    <col min="6153" max="6400" width="9" style="13"/>
    <col min="6401" max="6401" width="2.5" style="13" customWidth="1"/>
    <col min="6402" max="6403" width="12.5" style="13" customWidth="1"/>
    <col min="6404" max="6404" width="14.5" style="13" customWidth="1"/>
    <col min="6405" max="6406" width="12.5" style="13" customWidth="1"/>
    <col min="6407" max="6407" width="11.75" style="13" customWidth="1"/>
    <col min="6408" max="6408" width="10.75" style="13" customWidth="1"/>
    <col min="6409" max="6656" width="9" style="13"/>
    <col min="6657" max="6657" width="2.5" style="13" customWidth="1"/>
    <col min="6658" max="6659" width="12.5" style="13" customWidth="1"/>
    <col min="6660" max="6660" width="14.5" style="13" customWidth="1"/>
    <col min="6661" max="6662" width="12.5" style="13" customWidth="1"/>
    <col min="6663" max="6663" width="11.75" style="13" customWidth="1"/>
    <col min="6664" max="6664" width="10.75" style="13" customWidth="1"/>
    <col min="6665" max="6912" width="9" style="13"/>
    <col min="6913" max="6913" width="2.5" style="13" customWidth="1"/>
    <col min="6914" max="6915" width="12.5" style="13" customWidth="1"/>
    <col min="6916" max="6916" width="14.5" style="13" customWidth="1"/>
    <col min="6917" max="6918" width="12.5" style="13" customWidth="1"/>
    <col min="6919" max="6919" width="11.75" style="13" customWidth="1"/>
    <col min="6920" max="6920" width="10.75" style="13" customWidth="1"/>
    <col min="6921" max="7168" width="9" style="13"/>
    <col min="7169" max="7169" width="2.5" style="13" customWidth="1"/>
    <col min="7170" max="7171" width="12.5" style="13" customWidth="1"/>
    <col min="7172" max="7172" width="14.5" style="13" customWidth="1"/>
    <col min="7173" max="7174" width="12.5" style="13" customWidth="1"/>
    <col min="7175" max="7175" width="11.75" style="13" customWidth="1"/>
    <col min="7176" max="7176" width="10.75" style="13" customWidth="1"/>
    <col min="7177" max="7424" width="9" style="13"/>
    <col min="7425" max="7425" width="2.5" style="13" customWidth="1"/>
    <col min="7426" max="7427" width="12.5" style="13" customWidth="1"/>
    <col min="7428" max="7428" width="14.5" style="13" customWidth="1"/>
    <col min="7429" max="7430" width="12.5" style="13" customWidth="1"/>
    <col min="7431" max="7431" width="11.75" style="13" customWidth="1"/>
    <col min="7432" max="7432" width="10.75" style="13" customWidth="1"/>
    <col min="7433" max="7680" width="9" style="13"/>
    <col min="7681" max="7681" width="2.5" style="13" customWidth="1"/>
    <col min="7682" max="7683" width="12.5" style="13" customWidth="1"/>
    <col min="7684" max="7684" width="14.5" style="13" customWidth="1"/>
    <col min="7685" max="7686" width="12.5" style="13" customWidth="1"/>
    <col min="7687" max="7687" width="11.75" style="13" customWidth="1"/>
    <col min="7688" max="7688" width="10.75" style="13" customWidth="1"/>
    <col min="7689" max="7936" width="9" style="13"/>
    <col min="7937" max="7937" width="2.5" style="13" customWidth="1"/>
    <col min="7938" max="7939" width="12.5" style="13" customWidth="1"/>
    <col min="7940" max="7940" width="14.5" style="13" customWidth="1"/>
    <col min="7941" max="7942" width="12.5" style="13" customWidth="1"/>
    <col min="7943" max="7943" width="11.75" style="13" customWidth="1"/>
    <col min="7944" max="7944" width="10.75" style="13" customWidth="1"/>
    <col min="7945" max="8192" width="9" style="13"/>
    <col min="8193" max="8193" width="2.5" style="13" customWidth="1"/>
    <col min="8194" max="8195" width="12.5" style="13" customWidth="1"/>
    <col min="8196" max="8196" width="14.5" style="13" customWidth="1"/>
    <col min="8197" max="8198" width="12.5" style="13" customWidth="1"/>
    <col min="8199" max="8199" width="11.75" style="13" customWidth="1"/>
    <col min="8200" max="8200" width="10.75" style="13" customWidth="1"/>
    <col min="8201" max="8448" width="9" style="13"/>
    <col min="8449" max="8449" width="2.5" style="13" customWidth="1"/>
    <col min="8450" max="8451" width="12.5" style="13" customWidth="1"/>
    <col min="8452" max="8452" width="14.5" style="13" customWidth="1"/>
    <col min="8453" max="8454" width="12.5" style="13" customWidth="1"/>
    <col min="8455" max="8455" width="11.75" style="13" customWidth="1"/>
    <col min="8456" max="8456" width="10.75" style="13" customWidth="1"/>
    <col min="8457" max="8704" width="9" style="13"/>
    <col min="8705" max="8705" width="2.5" style="13" customWidth="1"/>
    <col min="8706" max="8707" width="12.5" style="13" customWidth="1"/>
    <col min="8708" max="8708" width="14.5" style="13" customWidth="1"/>
    <col min="8709" max="8710" width="12.5" style="13" customWidth="1"/>
    <col min="8711" max="8711" width="11.75" style="13" customWidth="1"/>
    <col min="8712" max="8712" width="10.75" style="13" customWidth="1"/>
    <col min="8713" max="8960" width="9" style="13"/>
    <col min="8961" max="8961" width="2.5" style="13" customWidth="1"/>
    <col min="8962" max="8963" width="12.5" style="13" customWidth="1"/>
    <col min="8964" max="8964" width="14.5" style="13" customWidth="1"/>
    <col min="8965" max="8966" width="12.5" style="13" customWidth="1"/>
    <col min="8967" max="8967" width="11.75" style="13" customWidth="1"/>
    <col min="8968" max="8968" width="10.75" style="13" customWidth="1"/>
    <col min="8969" max="9216" width="9" style="13"/>
    <col min="9217" max="9217" width="2.5" style="13" customWidth="1"/>
    <col min="9218" max="9219" width="12.5" style="13" customWidth="1"/>
    <col min="9220" max="9220" width="14.5" style="13" customWidth="1"/>
    <col min="9221" max="9222" width="12.5" style="13" customWidth="1"/>
    <col min="9223" max="9223" width="11.75" style="13" customWidth="1"/>
    <col min="9224" max="9224" width="10.75" style="13" customWidth="1"/>
    <col min="9225" max="9472" width="9" style="13"/>
    <col min="9473" max="9473" width="2.5" style="13" customWidth="1"/>
    <col min="9474" max="9475" width="12.5" style="13" customWidth="1"/>
    <col min="9476" max="9476" width="14.5" style="13" customWidth="1"/>
    <col min="9477" max="9478" width="12.5" style="13" customWidth="1"/>
    <col min="9479" max="9479" width="11.75" style="13" customWidth="1"/>
    <col min="9480" max="9480" width="10.75" style="13" customWidth="1"/>
    <col min="9481" max="9728" width="9" style="13"/>
    <col min="9729" max="9729" width="2.5" style="13" customWidth="1"/>
    <col min="9730" max="9731" width="12.5" style="13" customWidth="1"/>
    <col min="9732" max="9732" width="14.5" style="13" customWidth="1"/>
    <col min="9733" max="9734" width="12.5" style="13" customWidth="1"/>
    <col min="9735" max="9735" width="11.75" style="13" customWidth="1"/>
    <col min="9736" max="9736" width="10.75" style="13" customWidth="1"/>
    <col min="9737" max="9984" width="9" style="13"/>
    <col min="9985" max="9985" width="2.5" style="13" customWidth="1"/>
    <col min="9986" max="9987" width="12.5" style="13" customWidth="1"/>
    <col min="9988" max="9988" width="14.5" style="13" customWidth="1"/>
    <col min="9989" max="9990" width="12.5" style="13" customWidth="1"/>
    <col min="9991" max="9991" width="11.75" style="13" customWidth="1"/>
    <col min="9992" max="9992" width="10.75" style="13" customWidth="1"/>
    <col min="9993" max="10240" width="9" style="13"/>
    <col min="10241" max="10241" width="2.5" style="13" customWidth="1"/>
    <col min="10242" max="10243" width="12.5" style="13" customWidth="1"/>
    <col min="10244" max="10244" width="14.5" style="13" customWidth="1"/>
    <col min="10245" max="10246" width="12.5" style="13" customWidth="1"/>
    <col min="10247" max="10247" width="11.75" style="13" customWidth="1"/>
    <col min="10248" max="10248" width="10.75" style="13" customWidth="1"/>
    <col min="10249" max="10496" width="9" style="13"/>
    <col min="10497" max="10497" width="2.5" style="13" customWidth="1"/>
    <col min="10498" max="10499" width="12.5" style="13" customWidth="1"/>
    <col min="10500" max="10500" width="14.5" style="13" customWidth="1"/>
    <col min="10501" max="10502" width="12.5" style="13" customWidth="1"/>
    <col min="10503" max="10503" width="11.75" style="13" customWidth="1"/>
    <col min="10504" max="10504" width="10.75" style="13" customWidth="1"/>
    <col min="10505" max="10752" width="9" style="13"/>
    <col min="10753" max="10753" width="2.5" style="13" customWidth="1"/>
    <col min="10754" max="10755" width="12.5" style="13" customWidth="1"/>
    <col min="10756" max="10756" width="14.5" style="13" customWidth="1"/>
    <col min="10757" max="10758" width="12.5" style="13" customWidth="1"/>
    <col min="10759" max="10759" width="11.75" style="13" customWidth="1"/>
    <col min="10760" max="10760" width="10.75" style="13" customWidth="1"/>
    <col min="10761" max="11008" width="9" style="13"/>
    <col min="11009" max="11009" width="2.5" style="13" customWidth="1"/>
    <col min="11010" max="11011" width="12.5" style="13" customWidth="1"/>
    <col min="11012" max="11012" width="14.5" style="13" customWidth="1"/>
    <col min="11013" max="11014" width="12.5" style="13" customWidth="1"/>
    <col min="11015" max="11015" width="11.75" style="13" customWidth="1"/>
    <col min="11016" max="11016" width="10.75" style="13" customWidth="1"/>
    <col min="11017" max="11264" width="9" style="13"/>
    <col min="11265" max="11265" width="2.5" style="13" customWidth="1"/>
    <col min="11266" max="11267" width="12.5" style="13" customWidth="1"/>
    <col min="11268" max="11268" width="14.5" style="13" customWidth="1"/>
    <col min="11269" max="11270" width="12.5" style="13" customWidth="1"/>
    <col min="11271" max="11271" width="11.75" style="13" customWidth="1"/>
    <col min="11272" max="11272" width="10.75" style="13" customWidth="1"/>
    <col min="11273" max="11520" width="9" style="13"/>
    <col min="11521" max="11521" width="2.5" style="13" customWidth="1"/>
    <col min="11522" max="11523" width="12.5" style="13" customWidth="1"/>
    <col min="11524" max="11524" width="14.5" style="13" customWidth="1"/>
    <col min="11525" max="11526" width="12.5" style="13" customWidth="1"/>
    <col min="11527" max="11527" width="11.75" style="13" customWidth="1"/>
    <col min="11528" max="11528" width="10.75" style="13" customWidth="1"/>
    <col min="11529" max="11776" width="9" style="13"/>
    <col min="11777" max="11777" width="2.5" style="13" customWidth="1"/>
    <col min="11778" max="11779" width="12.5" style="13" customWidth="1"/>
    <col min="11780" max="11780" width="14.5" style="13" customWidth="1"/>
    <col min="11781" max="11782" width="12.5" style="13" customWidth="1"/>
    <col min="11783" max="11783" width="11.75" style="13" customWidth="1"/>
    <col min="11784" max="11784" width="10.75" style="13" customWidth="1"/>
    <col min="11785" max="12032" width="9" style="13"/>
    <col min="12033" max="12033" width="2.5" style="13" customWidth="1"/>
    <col min="12034" max="12035" width="12.5" style="13" customWidth="1"/>
    <col min="12036" max="12036" width="14.5" style="13" customWidth="1"/>
    <col min="12037" max="12038" width="12.5" style="13" customWidth="1"/>
    <col min="12039" max="12039" width="11.75" style="13" customWidth="1"/>
    <col min="12040" max="12040" width="10.75" style="13" customWidth="1"/>
    <col min="12041" max="12288" width="9" style="13"/>
    <col min="12289" max="12289" width="2.5" style="13" customWidth="1"/>
    <col min="12290" max="12291" width="12.5" style="13" customWidth="1"/>
    <col min="12292" max="12292" width="14.5" style="13" customWidth="1"/>
    <col min="12293" max="12294" width="12.5" style="13" customWidth="1"/>
    <col min="12295" max="12295" width="11.75" style="13" customWidth="1"/>
    <col min="12296" max="12296" width="10.75" style="13" customWidth="1"/>
    <col min="12297" max="12544" width="9" style="13"/>
    <col min="12545" max="12545" width="2.5" style="13" customWidth="1"/>
    <col min="12546" max="12547" width="12.5" style="13" customWidth="1"/>
    <col min="12548" max="12548" width="14.5" style="13" customWidth="1"/>
    <col min="12549" max="12550" width="12.5" style="13" customWidth="1"/>
    <col min="12551" max="12551" width="11.75" style="13" customWidth="1"/>
    <col min="12552" max="12552" width="10.75" style="13" customWidth="1"/>
    <col min="12553" max="12800" width="9" style="13"/>
    <col min="12801" max="12801" width="2.5" style="13" customWidth="1"/>
    <col min="12802" max="12803" width="12.5" style="13" customWidth="1"/>
    <col min="12804" max="12804" width="14.5" style="13" customWidth="1"/>
    <col min="12805" max="12806" width="12.5" style="13" customWidth="1"/>
    <col min="12807" max="12807" width="11.75" style="13" customWidth="1"/>
    <col min="12808" max="12808" width="10.75" style="13" customWidth="1"/>
    <col min="12809" max="13056" width="9" style="13"/>
    <col min="13057" max="13057" width="2.5" style="13" customWidth="1"/>
    <col min="13058" max="13059" width="12.5" style="13" customWidth="1"/>
    <col min="13060" max="13060" width="14.5" style="13" customWidth="1"/>
    <col min="13061" max="13062" width="12.5" style="13" customWidth="1"/>
    <col min="13063" max="13063" width="11.75" style="13" customWidth="1"/>
    <col min="13064" max="13064" width="10.75" style="13" customWidth="1"/>
    <col min="13065" max="13312" width="9" style="13"/>
    <col min="13313" max="13313" width="2.5" style="13" customWidth="1"/>
    <col min="13314" max="13315" width="12.5" style="13" customWidth="1"/>
    <col min="13316" max="13316" width="14.5" style="13" customWidth="1"/>
    <col min="13317" max="13318" width="12.5" style="13" customWidth="1"/>
    <col min="13319" max="13319" width="11.75" style="13" customWidth="1"/>
    <col min="13320" max="13320" width="10.75" style="13" customWidth="1"/>
    <col min="13321" max="13568" width="9" style="13"/>
    <col min="13569" max="13569" width="2.5" style="13" customWidth="1"/>
    <col min="13570" max="13571" width="12.5" style="13" customWidth="1"/>
    <col min="13572" max="13572" width="14.5" style="13" customWidth="1"/>
    <col min="13573" max="13574" width="12.5" style="13" customWidth="1"/>
    <col min="13575" max="13575" width="11.75" style="13" customWidth="1"/>
    <col min="13576" max="13576" width="10.75" style="13" customWidth="1"/>
    <col min="13577" max="13824" width="9" style="13"/>
    <col min="13825" max="13825" width="2.5" style="13" customWidth="1"/>
    <col min="13826" max="13827" width="12.5" style="13" customWidth="1"/>
    <col min="13828" max="13828" width="14.5" style="13" customWidth="1"/>
    <col min="13829" max="13830" width="12.5" style="13" customWidth="1"/>
    <col min="13831" max="13831" width="11.75" style="13" customWidth="1"/>
    <col min="13832" max="13832" width="10.75" style="13" customWidth="1"/>
    <col min="13833" max="14080" width="9" style="13"/>
    <col min="14081" max="14081" width="2.5" style="13" customWidth="1"/>
    <col min="14082" max="14083" width="12.5" style="13" customWidth="1"/>
    <col min="14084" max="14084" width="14.5" style="13" customWidth="1"/>
    <col min="14085" max="14086" width="12.5" style="13" customWidth="1"/>
    <col min="14087" max="14087" width="11.75" style="13" customWidth="1"/>
    <col min="14088" max="14088" width="10.75" style="13" customWidth="1"/>
    <col min="14089" max="14336" width="9" style="13"/>
    <col min="14337" max="14337" width="2.5" style="13" customWidth="1"/>
    <col min="14338" max="14339" width="12.5" style="13" customWidth="1"/>
    <col min="14340" max="14340" width="14.5" style="13" customWidth="1"/>
    <col min="14341" max="14342" width="12.5" style="13" customWidth="1"/>
    <col min="14343" max="14343" width="11.75" style="13" customWidth="1"/>
    <col min="14344" max="14344" width="10.75" style="13" customWidth="1"/>
    <col min="14345" max="14592" width="9" style="13"/>
    <col min="14593" max="14593" width="2.5" style="13" customWidth="1"/>
    <col min="14594" max="14595" width="12.5" style="13" customWidth="1"/>
    <col min="14596" max="14596" width="14.5" style="13" customWidth="1"/>
    <col min="14597" max="14598" width="12.5" style="13" customWidth="1"/>
    <col min="14599" max="14599" width="11.75" style="13" customWidth="1"/>
    <col min="14600" max="14600" width="10.75" style="13" customWidth="1"/>
    <col min="14601" max="14848" width="9" style="13"/>
    <col min="14849" max="14849" width="2.5" style="13" customWidth="1"/>
    <col min="14850" max="14851" width="12.5" style="13" customWidth="1"/>
    <col min="14852" max="14852" width="14.5" style="13" customWidth="1"/>
    <col min="14853" max="14854" width="12.5" style="13" customWidth="1"/>
    <col min="14855" max="14855" width="11.75" style="13" customWidth="1"/>
    <col min="14856" max="14856" width="10.75" style="13" customWidth="1"/>
    <col min="14857" max="15104" width="9" style="13"/>
    <col min="15105" max="15105" width="2.5" style="13" customWidth="1"/>
    <col min="15106" max="15107" width="12.5" style="13" customWidth="1"/>
    <col min="15108" max="15108" width="14.5" style="13" customWidth="1"/>
    <col min="15109" max="15110" width="12.5" style="13" customWidth="1"/>
    <col min="15111" max="15111" width="11.75" style="13" customWidth="1"/>
    <col min="15112" max="15112" width="10.75" style="13" customWidth="1"/>
    <col min="15113" max="15360" width="9" style="13"/>
    <col min="15361" max="15361" width="2.5" style="13" customWidth="1"/>
    <col min="15362" max="15363" width="12.5" style="13" customWidth="1"/>
    <col min="15364" max="15364" width="14.5" style="13" customWidth="1"/>
    <col min="15365" max="15366" width="12.5" style="13" customWidth="1"/>
    <col min="15367" max="15367" width="11.75" style="13" customWidth="1"/>
    <col min="15368" max="15368" width="10.75" style="13" customWidth="1"/>
    <col min="15369" max="15616" width="9" style="13"/>
    <col min="15617" max="15617" width="2.5" style="13" customWidth="1"/>
    <col min="15618" max="15619" width="12.5" style="13" customWidth="1"/>
    <col min="15620" max="15620" width="14.5" style="13" customWidth="1"/>
    <col min="15621" max="15622" width="12.5" style="13" customWidth="1"/>
    <col min="15623" max="15623" width="11.75" style="13" customWidth="1"/>
    <col min="15624" max="15624" width="10.75" style="13" customWidth="1"/>
    <col min="15625" max="15872" width="9" style="13"/>
    <col min="15873" max="15873" width="2.5" style="13" customWidth="1"/>
    <col min="15874" max="15875" width="12.5" style="13" customWidth="1"/>
    <col min="15876" max="15876" width="14.5" style="13" customWidth="1"/>
    <col min="15877" max="15878" width="12.5" style="13" customWidth="1"/>
    <col min="15879" max="15879" width="11.75" style="13" customWidth="1"/>
    <col min="15880" max="15880" width="10.75" style="13" customWidth="1"/>
    <col min="15881" max="16128" width="9" style="13"/>
    <col min="16129" max="16129" width="2.5" style="13" customWidth="1"/>
    <col min="16130" max="16131" width="12.5" style="13" customWidth="1"/>
    <col min="16132" max="16132" width="14.5" style="13" customWidth="1"/>
    <col min="16133" max="16134" width="12.5" style="13" customWidth="1"/>
    <col min="16135" max="16135" width="11.75" style="13" customWidth="1"/>
    <col min="16136" max="16136" width="10.75" style="13" customWidth="1"/>
    <col min="16137" max="16384" width="9" style="13"/>
  </cols>
  <sheetData>
    <row r="2" spans="2:8" ht="20.100000000000001" customHeight="1" x14ac:dyDescent="0.3">
      <c r="B2" s="186" t="s">
        <v>268</v>
      </c>
    </row>
    <row r="3" spans="2:8" ht="20.100000000000001" customHeight="1" thickBot="1" x14ac:dyDescent="0.35">
      <c r="F3" s="186" t="s">
        <v>269</v>
      </c>
    </row>
    <row r="4" spans="2:8" ht="20.100000000000001" customHeight="1" thickBot="1" x14ac:dyDescent="0.35">
      <c r="B4" s="187" t="s">
        <v>55</v>
      </c>
      <c r="C4" s="187" t="s">
        <v>270</v>
      </c>
      <c r="D4" s="187" t="s">
        <v>271</v>
      </c>
      <c r="F4" s="187" t="s">
        <v>55</v>
      </c>
      <c r="G4" s="187" t="s">
        <v>270</v>
      </c>
      <c r="H4" s="187" t="s">
        <v>271</v>
      </c>
    </row>
    <row r="5" spans="2:8" ht="20.100000000000001" customHeight="1" x14ac:dyDescent="0.3">
      <c r="B5" s="188" t="s">
        <v>60</v>
      </c>
      <c r="C5" s="188" t="s">
        <v>272</v>
      </c>
      <c r="D5" s="188" t="s">
        <v>273</v>
      </c>
      <c r="F5" s="188" t="s">
        <v>60</v>
      </c>
      <c r="G5" s="188" t="str">
        <f>VLOOKUP($F5,$B$5:$D$10,COLUMN(B3),0)</f>
        <v>010-1211-1111</v>
      </c>
      <c r="H5" s="188" t="str">
        <f>VLOOKUP($F5,$B$5:$D$10,COLUMN(C3),)</f>
        <v>전주</v>
      </c>
    </row>
    <row r="6" spans="2:8" ht="20.100000000000001" customHeight="1" x14ac:dyDescent="0.3">
      <c r="B6" s="189" t="s">
        <v>63</v>
      </c>
      <c r="C6" s="189" t="s">
        <v>274</v>
      </c>
      <c r="D6" s="189" t="s">
        <v>275</v>
      </c>
      <c r="F6" s="190" t="s">
        <v>276</v>
      </c>
    </row>
    <row r="7" spans="2:8" ht="20.100000000000001" customHeight="1" x14ac:dyDescent="0.3">
      <c r="B7" s="189" t="s">
        <v>277</v>
      </c>
      <c r="C7" s="189" t="s">
        <v>278</v>
      </c>
      <c r="D7" s="189" t="s">
        <v>279</v>
      </c>
    </row>
    <row r="8" spans="2:8" ht="20.100000000000001" customHeight="1" thickBot="1" x14ac:dyDescent="0.35">
      <c r="B8" s="189" t="s">
        <v>60</v>
      </c>
      <c r="C8" s="189" t="s">
        <v>280</v>
      </c>
      <c r="D8" s="189" t="s">
        <v>281</v>
      </c>
      <c r="F8" s="191" t="s">
        <v>282</v>
      </c>
    </row>
    <row r="9" spans="2:8" ht="20.100000000000001" customHeight="1" thickBot="1" x14ac:dyDescent="0.35">
      <c r="B9" s="189" t="s">
        <v>283</v>
      </c>
      <c r="C9" s="189" t="s">
        <v>284</v>
      </c>
      <c r="D9" s="189" t="s">
        <v>285</v>
      </c>
      <c r="F9" s="187" t="s">
        <v>55</v>
      </c>
      <c r="G9" s="187" t="s">
        <v>270</v>
      </c>
      <c r="H9" s="187" t="s">
        <v>271</v>
      </c>
    </row>
    <row r="10" spans="2:8" ht="20.100000000000001" customHeight="1" x14ac:dyDescent="0.3">
      <c r="B10" s="189" t="s">
        <v>286</v>
      </c>
      <c r="C10" s="189" t="s">
        <v>287</v>
      </c>
      <c r="D10" s="189" t="s">
        <v>288</v>
      </c>
      <c r="F10" s="188" t="s">
        <v>60</v>
      </c>
      <c r="G10" s="188" t="str">
        <f t="array" ref="G10">IFERROR(INDEX($C$5:$C$10,SMALL(IF(($F$10=$B$5:$B$10),MATCH(ROW($B$5:$B$10), ROW($B$5:$B$10)), ""), ROWS($A$3:A3))),"")</f>
        <v>010-1211-1111</v>
      </c>
      <c r="H10" s="188" t="str">
        <f>IFERROR(INDEX($D$5:$D$10,SMALL(IF(($F$10=$B$5:$B$10),MATCH(ROW($B$5:$B$10), ROW($B$5:$B$10)), ""), ROWS($A$3:A3))),"")</f>
        <v/>
      </c>
    </row>
    <row r="11" spans="2:8" ht="20.100000000000001" customHeight="1" x14ac:dyDescent="0.3">
      <c r="G11" s="188" t="str">
        <f t="array" ref="G11">IFERROR(INDEX($C$5:$C$10,SMALL(IF(($F$10=$B$5:$B$10),MATCH(ROW($B$5:$B$10), ROW($B$5:$B$10)), ""), ROWS($A$3:A4))),"")</f>
        <v>010-1211-1114</v>
      </c>
      <c r="H11" s="188" t="str">
        <f t="array" ref="H11">IFERROR(INDEX($D$5:$D$10,SMALL(IF(($F$10=$B$5:$B$10),MATCH(ROW($B$5:$B$10), ROW($B$5:$B$10)), ""), ROWS($A$3:A4))),"")</f>
        <v>수원</v>
      </c>
    </row>
    <row r="12" spans="2:8" ht="20.100000000000001" customHeight="1" x14ac:dyDescent="0.3">
      <c r="B12" s="190"/>
      <c r="F12" s="190" t="s">
        <v>289</v>
      </c>
    </row>
    <row r="14" spans="2:8" ht="20.100000000000001" customHeight="1" x14ac:dyDescent="0.3">
      <c r="B14" s="186" t="s">
        <v>290</v>
      </c>
    </row>
    <row r="15" spans="2:8" ht="20.100000000000001" customHeight="1" thickBot="1" x14ac:dyDescent="0.35"/>
    <row r="16" spans="2:8" ht="20.100000000000001" customHeight="1" thickBot="1" x14ac:dyDescent="0.35">
      <c r="B16" s="187" t="s">
        <v>291</v>
      </c>
      <c r="C16" s="187" t="s">
        <v>292</v>
      </c>
      <c r="D16" s="187" t="s">
        <v>107</v>
      </c>
      <c r="G16" s="13" t="s">
        <v>293</v>
      </c>
    </row>
    <row r="17" spans="2:11" ht="20.100000000000001" customHeight="1" x14ac:dyDescent="0.3">
      <c r="B17" s="188" t="s">
        <v>294</v>
      </c>
      <c r="C17" s="188" t="str">
        <f>INDEX($G$17:$G$30,MATCH(VALUE(LEFT($B17,3)),$H$17:$H$30,0),1)</f>
        <v>종로</v>
      </c>
      <c r="D17" s="188" t="str">
        <f>VLOOKUP(VALUE(MID(B17,5,2)),$J$17:$K$28,2,1)</f>
        <v>영리법인 본점</v>
      </c>
      <c r="G17" s="13" t="s">
        <v>295</v>
      </c>
      <c r="H17" s="13">
        <v>101</v>
      </c>
      <c r="J17" s="13">
        <v>1</v>
      </c>
      <c r="K17" s="190" t="s">
        <v>296</v>
      </c>
    </row>
    <row r="18" spans="2:11" ht="20.100000000000001" customHeight="1" x14ac:dyDescent="0.3">
      <c r="B18" s="189" t="s">
        <v>297</v>
      </c>
      <c r="C18" s="188" t="str">
        <f>INDEX($G$17:$G$30,MATCH(VALUE(LEFT($B18,3)),$H$17:$H$30,0),1)</f>
        <v>안양</v>
      </c>
      <c r="D18" s="188" t="str">
        <f>VLOOKUP(VALUE(MID(B18,5,2)),$J$17:$K$28,2,1)</f>
        <v>개인 면세사업자</v>
      </c>
      <c r="G18" s="13" t="s">
        <v>298</v>
      </c>
      <c r="H18" s="13">
        <v>104</v>
      </c>
      <c r="J18" s="13">
        <v>80</v>
      </c>
      <c r="K18" s="190" t="s">
        <v>299</v>
      </c>
    </row>
    <row r="19" spans="2:11" ht="20.100000000000001" customHeight="1" x14ac:dyDescent="0.3">
      <c r="B19" s="189" t="s">
        <v>300</v>
      </c>
      <c r="C19" s="188" t="str">
        <f>INDEX($G$17:$G$30,MATCH(VALUE(LEFT($B19,3)),$H$17:$H$30,0),1)</f>
        <v>마포</v>
      </c>
      <c r="D19" s="188" t="str">
        <f>VLOOKUP(VALUE(MID(B19,5,2)),$J$17:$K$28,2,1)</f>
        <v>개인 과세사업자</v>
      </c>
      <c r="G19" s="13" t="s">
        <v>301</v>
      </c>
      <c r="H19" s="13">
        <v>105</v>
      </c>
      <c r="J19" s="13">
        <v>81</v>
      </c>
      <c r="K19" s="190" t="s">
        <v>302</v>
      </c>
    </row>
    <row r="20" spans="2:11" ht="20.100000000000001" customHeight="1" x14ac:dyDescent="0.3">
      <c r="B20" s="189" t="s">
        <v>303</v>
      </c>
      <c r="C20" s="188" t="str">
        <f>INDEX($G$17:$G$30,MATCH(VALUE(LEFT($B20,3)),$H$17:$H$30,0),1)</f>
        <v>북인천</v>
      </c>
      <c r="D20" s="188" t="str">
        <f>VLOOKUP(VALUE(MID(B20,5,2)),$J$17:$K$28,2,1)</f>
        <v>교회등(법인아닌</v>
      </c>
      <c r="G20" s="13" t="s">
        <v>304</v>
      </c>
      <c r="H20" s="13">
        <v>106</v>
      </c>
      <c r="J20" s="13">
        <v>82</v>
      </c>
      <c r="K20" s="190" t="s">
        <v>305</v>
      </c>
    </row>
    <row r="21" spans="2:11" ht="20.100000000000001" customHeight="1" x14ac:dyDescent="0.3">
      <c r="G21" s="13" t="s">
        <v>306</v>
      </c>
      <c r="H21" s="13">
        <v>107</v>
      </c>
      <c r="J21" s="13">
        <v>83</v>
      </c>
      <c r="K21" s="190" t="s">
        <v>307</v>
      </c>
    </row>
    <row r="22" spans="2:11" ht="20.100000000000001" customHeight="1" x14ac:dyDescent="0.3">
      <c r="B22" s="190" t="s">
        <v>308</v>
      </c>
      <c r="G22" s="13" t="s">
        <v>309</v>
      </c>
      <c r="H22" s="13">
        <v>108</v>
      </c>
      <c r="J22" s="13">
        <v>84</v>
      </c>
      <c r="K22" s="190" t="s">
        <v>310</v>
      </c>
    </row>
    <row r="23" spans="2:11" ht="20.100000000000001" customHeight="1" x14ac:dyDescent="0.3">
      <c r="G23" s="13" t="s">
        <v>311</v>
      </c>
      <c r="H23" s="13">
        <v>109</v>
      </c>
      <c r="J23" s="13">
        <v>85</v>
      </c>
      <c r="K23" s="190" t="s">
        <v>312</v>
      </c>
    </row>
    <row r="24" spans="2:11" ht="20.100000000000001" customHeight="1" x14ac:dyDescent="0.3">
      <c r="G24" s="13" t="s">
        <v>313</v>
      </c>
      <c r="H24" s="13">
        <v>110</v>
      </c>
      <c r="J24" s="13">
        <v>86</v>
      </c>
      <c r="K24" s="190" t="s">
        <v>302</v>
      </c>
    </row>
    <row r="25" spans="2:11" ht="20.100000000000001" customHeight="1" x14ac:dyDescent="0.3">
      <c r="G25" s="13" t="s">
        <v>314</v>
      </c>
      <c r="H25" s="13">
        <v>113</v>
      </c>
      <c r="J25" s="13">
        <v>87</v>
      </c>
      <c r="K25" s="190" t="s">
        <v>302</v>
      </c>
    </row>
    <row r="26" spans="2:11" ht="20.100000000000001" customHeight="1" x14ac:dyDescent="0.3">
      <c r="J26" s="13">
        <v>88</v>
      </c>
      <c r="K26" s="190" t="s">
        <v>302</v>
      </c>
    </row>
    <row r="27" spans="2:11" ht="20.100000000000001" customHeight="1" x14ac:dyDescent="0.3">
      <c r="G27" s="13" t="s">
        <v>315</v>
      </c>
      <c r="J27" s="13">
        <v>89</v>
      </c>
      <c r="K27" s="190" t="s">
        <v>316</v>
      </c>
    </row>
    <row r="28" spans="2:11" ht="20.100000000000001" customHeight="1" x14ac:dyDescent="0.3">
      <c r="G28" s="13" t="s">
        <v>317</v>
      </c>
      <c r="H28" s="13">
        <v>121</v>
      </c>
      <c r="J28" s="13">
        <v>90</v>
      </c>
      <c r="K28" s="190" t="s">
        <v>318</v>
      </c>
    </row>
    <row r="29" spans="2:11" ht="20.100000000000001" customHeight="1" x14ac:dyDescent="0.3">
      <c r="G29" s="13" t="s">
        <v>319</v>
      </c>
      <c r="H29" s="13">
        <v>122</v>
      </c>
    </row>
    <row r="30" spans="2:11" ht="20.100000000000001" customHeight="1" x14ac:dyDescent="0.3">
      <c r="G30" s="13" t="s">
        <v>320</v>
      </c>
      <c r="H30" s="13">
        <v>123</v>
      </c>
    </row>
    <row r="33" spans="1:12" ht="20.100000000000001" customHeight="1" x14ac:dyDescent="0.3">
      <c r="B33" s="186" t="s">
        <v>321</v>
      </c>
    </row>
    <row r="34" spans="1:12" ht="20.100000000000001" customHeight="1" thickBot="1" x14ac:dyDescent="0.35"/>
    <row r="35" spans="1:12" ht="20.100000000000001" customHeight="1" thickBot="1" x14ac:dyDescent="0.35">
      <c r="B35" s="187" t="s">
        <v>322</v>
      </c>
      <c r="C35" s="187" t="s">
        <v>323</v>
      </c>
      <c r="D35" s="187" t="s">
        <v>324</v>
      </c>
      <c r="E35" s="187" t="s">
        <v>325</v>
      </c>
      <c r="F35" s="187" t="s">
        <v>326</v>
      </c>
      <c r="G35" s="187" t="s">
        <v>327</v>
      </c>
      <c r="H35" s="187" t="s">
        <v>328</v>
      </c>
      <c r="I35" s="187" t="s">
        <v>329</v>
      </c>
      <c r="J35" s="187" t="s">
        <v>330</v>
      </c>
      <c r="K35" s="192">
        <v>4.2</v>
      </c>
    </row>
    <row r="36" spans="1:12" ht="20.100000000000001" customHeight="1" x14ac:dyDescent="0.3">
      <c r="A36" s="193"/>
      <c r="B36" s="194"/>
      <c r="C36" s="194">
        <v>1.25</v>
      </c>
      <c r="D36" s="194">
        <v>1.5</v>
      </c>
      <c r="E36" s="194">
        <v>1.7</v>
      </c>
      <c r="F36" s="194">
        <v>1.9</v>
      </c>
      <c r="G36" s="194">
        <v>2.1</v>
      </c>
      <c r="H36" s="194">
        <v>2.5</v>
      </c>
      <c r="I36" s="195">
        <v>2.8</v>
      </c>
      <c r="J36" s="194">
        <v>5.9</v>
      </c>
      <c r="K36" s="196">
        <f>IFERROR(LARGE($B36:$J36,COUNTIF($B36:$J36,"&gt;="&amp;$K$35)+1),MIN($B36:$J36))</f>
        <v>2.8</v>
      </c>
    </row>
    <row r="37" spans="1:12" ht="20.100000000000001" customHeight="1" x14ac:dyDescent="0.3">
      <c r="A37" s="193"/>
      <c r="B37" s="197"/>
      <c r="C37" s="194">
        <v>1.5</v>
      </c>
      <c r="D37" s="194">
        <v>2.2000000000000002</v>
      </c>
      <c r="E37" s="194">
        <v>2.5</v>
      </c>
      <c r="F37" s="195">
        <v>3.7</v>
      </c>
      <c r="G37" s="194">
        <v>5</v>
      </c>
      <c r="H37" s="194">
        <v>6</v>
      </c>
      <c r="I37" s="194"/>
      <c r="J37" s="194"/>
      <c r="K37" s="196">
        <f>IFERROR(LARGE($B37:$J37,COUNTIF($B37:$J37,"&gt;="&amp;$K$35)+1),MIN($B37:$J37))</f>
        <v>3.7</v>
      </c>
    </row>
    <row r="38" spans="1:12" ht="20.100000000000001" customHeight="1" x14ac:dyDescent="0.3">
      <c r="A38" s="193"/>
      <c r="B38" s="197">
        <v>1.2</v>
      </c>
      <c r="C38" s="194">
        <v>1.6</v>
      </c>
      <c r="D38" s="194">
        <v>2</v>
      </c>
      <c r="E38" s="194">
        <v>2.4</v>
      </c>
      <c r="F38" s="194">
        <v>2.8</v>
      </c>
      <c r="G38" s="194">
        <v>3</v>
      </c>
      <c r="H38" s="194">
        <v>3.5</v>
      </c>
      <c r="I38" s="194">
        <v>3.6</v>
      </c>
      <c r="J38" s="195">
        <v>3.8</v>
      </c>
      <c r="K38" s="196">
        <f>IFERROR(LARGE($B38:$J38,COUNTIF($B38:$J38,"&gt;="&amp;$K$35)+1),MIN($B38:$J38))</f>
        <v>3.8</v>
      </c>
    </row>
    <row r="39" spans="1:12" ht="20.100000000000001" customHeight="1" x14ac:dyDescent="0.3">
      <c r="A39" s="193"/>
      <c r="B39" s="198">
        <v>4.3</v>
      </c>
      <c r="C39" s="194">
        <v>5</v>
      </c>
      <c r="D39" s="194">
        <v>5.7</v>
      </c>
      <c r="E39" s="194">
        <v>6</v>
      </c>
      <c r="F39" s="194">
        <v>6.2</v>
      </c>
      <c r="G39" s="194">
        <v>6.6</v>
      </c>
      <c r="H39" s="194">
        <v>7</v>
      </c>
      <c r="I39" s="194">
        <v>8.6999999999999993</v>
      </c>
      <c r="J39" s="194"/>
      <c r="K39" s="196">
        <f>IFERROR(LARGE($B39:$J39,COUNTIF($B39:$J39,"&gt;="&amp;$K$35)+1),MIN($B39:$J39))</f>
        <v>4.3</v>
      </c>
    </row>
    <row r="40" spans="1:12" ht="20.100000000000001" customHeight="1" x14ac:dyDescent="0.3">
      <c r="A40" s="193"/>
      <c r="B40" s="197"/>
      <c r="C40" s="197"/>
      <c r="D40" s="198">
        <v>4.8</v>
      </c>
      <c r="E40" s="197">
        <v>6</v>
      </c>
      <c r="F40" s="197">
        <v>6.5</v>
      </c>
      <c r="G40" s="197">
        <v>8</v>
      </c>
      <c r="H40" s="197">
        <v>8.1999999999999993</v>
      </c>
      <c r="I40" s="197"/>
      <c r="J40" s="197"/>
      <c r="K40" s="196">
        <f>IFERROR(LARGE($B40:$J40,COUNTIF($B40:$J40,"&gt;="&amp;$K$35)+1),MIN($B40:$J40))</f>
        <v>4.8</v>
      </c>
    </row>
    <row r="41" spans="1:12" ht="20.100000000000001" customHeight="1" x14ac:dyDescent="0.3">
      <c r="B41" s="190" t="s">
        <v>331</v>
      </c>
    </row>
    <row r="42" spans="1:12" ht="20.100000000000001" customHeight="1" thickBot="1" x14ac:dyDescent="0.35"/>
    <row r="43" spans="1:12" ht="20.100000000000001" customHeight="1" thickBot="1" x14ac:dyDescent="0.35">
      <c r="B43" s="187" t="s">
        <v>322</v>
      </c>
      <c r="C43" s="187" t="s">
        <v>323</v>
      </c>
      <c r="D43" s="187" t="s">
        <v>324</v>
      </c>
      <c r="E43" s="187" t="s">
        <v>325</v>
      </c>
      <c r="F43" s="187" t="s">
        <v>326</v>
      </c>
      <c r="G43" s="187" t="s">
        <v>327</v>
      </c>
      <c r="H43" s="187" t="s">
        <v>328</v>
      </c>
      <c r="I43" s="187" t="s">
        <v>329</v>
      </c>
      <c r="J43" s="187" t="s">
        <v>330</v>
      </c>
      <c r="K43" s="192">
        <v>4.2</v>
      </c>
    </row>
    <row r="44" spans="1:12" ht="20.100000000000001" customHeight="1" x14ac:dyDescent="0.3">
      <c r="B44" s="194"/>
      <c r="C44" s="195">
        <v>5.8</v>
      </c>
      <c r="D44" s="194">
        <v>1.5</v>
      </c>
      <c r="E44" s="194">
        <v>1.7</v>
      </c>
      <c r="F44" s="194">
        <v>1.9</v>
      </c>
      <c r="G44" s="194">
        <v>3.6</v>
      </c>
      <c r="H44" s="194">
        <v>2.5</v>
      </c>
      <c r="I44" s="194">
        <v>2.8</v>
      </c>
      <c r="J44" s="194">
        <v>5.9</v>
      </c>
      <c r="K44" s="196">
        <f>IFERROR(LARGE($B44:$J44,COUNTIF($B44:$J44,"&gt;="&amp;$K$43)+0),MIN($B44:$J44))</f>
        <v>5.8</v>
      </c>
      <c r="L44" s="190" t="s">
        <v>332</v>
      </c>
    </row>
    <row r="45" spans="1:12" ht="20.100000000000001" customHeight="1" x14ac:dyDescent="0.3">
      <c r="B45" s="194"/>
      <c r="C45" s="194">
        <v>5.8</v>
      </c>
      <c r="D45" s="194">
        <v>1.5</v>
      </c>
      <c r="E45" s="194">
        <v>1.7</v>
      </c>
      <c r="F45" s="194">
        <v>1.9</v>
      </c>
      <c r="G45" s="194">
        <v>3.6</v>
      </c>
      <c r="H45" s="194">
        <v>2.5</v>
      </c>
      <c r="I45" s="194">
        <v>2.8</v>
      </c>
      <c r="J45" s="195">
        <v>5.9</v>
      </c>
      <c r="K45" s="196">
        <f>IFERROR(LARGE($B45:$J45,COUNTIF($B45:$J45,"&gt;="&amp;$K$43)-1),MIN($B45:$J45))</f>
        <v>5.9</v>
      </c>
      <c r="L45" s="190" t="s">
        <v>333</v>
      </c>
    </row>
    <row r="46" spans="1:12" ht="20.100000000000001" customHeight="1" x14ac:dyDescent="0.3">
      <c r="B46" s="194"/>
      <c r="C46" s="194">
        <v>5.8</v>
      </c>
      <c r="D46" s="194">
        <v>1.5</v>
      </c>
      <c r="E46" s="194">
        <v>1.7</v>
      </c>
      <c r="F46" s="194">
        <v>1.9</v>
      </c>
      <c r="G46" s="195">
        <v>3.6</v>
      </c>
      <c r="H46" s="194">
        <v>2.5</v>
      </c>
      <c r="I46" s="194">
        <v>2.8</v>
      </c>
      <c r="J46" s="194">
        <v>5.9</v>
      </c>
      <c r="K46" s="196">
        <f>IFERROR(LARGE($B46:$J46,COUNTIF($B46:$J46,"&gt;="&amp;$K$43)+1),MIN($B46:$J46))</f>
        <v>3.6</v>
      </c>
      <c r="L46" s="190" t="s">
        <v>334</v>
      </c>
    </row>
    <row r="47" spans="1:12" ht="20.100000000000001" customHeight="1" x14ac:dyDescent="0.3">
      <c r="B47" s="194"/>
      <c r="C47" s="194">
        <v>5.8</v>
      </c>
      <c r="D47" s="194">
        <v>1.5</v>
      </c>
      <c r="E47" s="194">
        <v>1.7</v>
      </c>
      <c r="F47" s="194">
        <v>1.9</v>
      </c>
      <c r="G47" s="194">
        <v>3.6</v>
      </c>
      <c r="H47" s="194">
        <v>2.5</v>
      </c>
      <c r="I47" s="195">
        <v>2.8</v>
      </c>
      <c r="J47" s="194">
        <v>5.9</v>
      </c>
      <c r="K47" s="196">
        <f>IFERROR(LARGE($B47:$J47,COUNTIF($B47:$J47,"&gt;="&amp;$K$43)+2),MIN($B47:$J47))</f>
        <v>2.8</v>
      </c>
      <c r="L47" s="190" t="s">
        <v>335</v>
      </c>
    </row>
    <row r="48" spans="1:12" ht="20.100000000000001" customHeight="1" x14ac:dyDescent="0.3">
      <c r="B48" s="194"/>
      <c r="C48" s="194">
        <v>5.8</v>
      </c>
      <c r="D48" s="194">
        <v>1.5</v>
      </c>
      <c r="E48" s="194">
        <v>1.7</v>
      </c>
      <c r="F48" s="194">
        <v>1.9</v>
      </c>
      <c r="G48" s="194">
        <v>3.6</v>
      </c>
      <c r="H48" s="195">
        <v>2.5</v>
      </c>
      <c r="I48" s="194">
        <v>2.8</v>
      </c>
      <c r="J48" s="194">
        <v>5.9</v>
      </c>
      <c r="K48" s="196">
        <f>IFERROR(LARGE($B48:$J48,COUNTIF($B48:$J48,"&gt;="&amp;$K$43)+3),MIN($B48:$J48))</f>
        <v>2.5</v>
      </c>
      <c r="L48" s="190" t="s">
        <v>336</v>
      </c>
    </row>
    <row r="54" spans="1:8" ht="20.100000000000001" customHeight="1" x14ac:dyDescent="0.3">
      <c r="A54" s="199"/>
      <c r="C54" s="199"/>
      <c r="D54" s="199"/>
      <c r="E54" s="199"/>
      <c r="F54" s="199"/>
      <c r="G54" s="199"/>
      <c r="H54" s="199"/>
    </row>
    <row r="55" spans="1:8" ht="20.100000000000001" customHeight="1" thickBot="1" x14ac:dyDescent="0.35">
      <c r="A55" s="199"/>
      <c r="B55" s="58" t="s">
        <v>337</v>
      </c>
      <c r="C55" s="199"/>
      <c r="D55" s="199"/>
      <c r="E55" s="199"/>
      <c r="F55" s="186" t="s">
        <v>269</v>
      </c>
      <c r="G55" s="199"/>
      <c r="H55" s="199"/>
    </row>
    <row r="56" spans="1:8" ht="20.100000000000001" customHeight="1" thickBot="1" x14ac:dyDescent="0.35">
      <c r="A56" s="199"/>
      <c r="B56" s="187" t="s">
        <v>55</v>
      </c>
      <c r="C56" s="187" t="s">
        <v>270</v>
      </c>
      <c r="D56" s="187" t="s">
        <v>271</v>
      </c>
      <c r="E56" s="199"/>
      <c r="F56" s="187" t="s">
        <v>55</v>
      </c>
      <c r="G56" s="187" t="s">
        <v>270</v>
      </c>
      <c r="H56" s="187" t="s">
        <v>271</v>
      </c>
    </row>
    <row r="57" spans="1:8" ht="20.100000000000001" customHeight="1" x14ac:dyDescent="0.3">
      <c r="A57" s="199"/>
      <c r="B57" s="188" t="s">
        <v>60</v>
      </c>
      <c r="C57" s="188" t="s">
        <v>272</v>
      </c>
      <c r="D57" s="188" t="s">
        <v>273</v>
      </c>
      <c r="E57" s="199"/>
      <c r="F57" s="188" t="s">
        <v>60</v>
      </c>
      <c r="G57" s="200" t="str">
        <f>VLOOKUP($F57,$B$57:$D$62,COLUMN(B56),0)</f>
        <v>010-1211-1111</v>
      </c>
      <c r="H57" s="200" t="str">
        <f>VLOOKUP($F57,$B$57:$D$62,COLUMN(C56),0)</f>
        <v>전주</v>
      </c>
    </row>
    <row r="58" spans="1:8" ht="20.100000000000001" customHeight="1" x14ac:dyDescent="0.3">
      <c r="A58" s="199"/>
      <c r="B58" s="189" t="s">
        <v>63</v>
      </c>
      <c r="C58" s="189" t="s">
        <v>274</v>
      </c>
      <c r="D58" s="189" t="s">
        <v>275</v>
      </c>
      <c r="E58" s="199"/>
      <c r="F58" s="190" t="s">
        <v>276</v>
      </c>
      <c r="G58" s="199"/>
      <c r="H58" s="199"/>
    </row>
    <row r="59" spans="1:8" ht="20.100000000000001" customHeight="1" x14ac:dyDescent="0.3">
      <c r="A59" s="199"/>
      <c r="B59" s="189" t="s">
        <v>277</v>
      </c>
      <c r="C59" s="189" t="s">
        <v>278</v>
      </c>
      <c r="D59" s="189" t="s">
        <v>279</v>
      </c>
      <c r="E59" s="199"/>
      <c r="F59" s="199"/>
      <c r="G59" s="199"/>
      <c r="H59" s="199"/>
    </row>
    <row r="60" spans="1:8" ht="20.100000000000001" customHeight="1" thickBot="1" x14ac:dyDescent="0.35">
      <c r="A60" s="199"/>
      <c r="B60" s="189" t="s">
        <v>60</v>
      </c>
      <c r="C60" s="189" t="s">
        <v>280</v>
      </c>
      <c r="D60" s="189" t="s">
        <v>281</v>
      </c>
      <c r="E60" s="199"/>
      <c r="F60" s="201" t="s">
        <v>338</v>
      </c>
      <c r="G60" s="199"/>
      <c r="H60" s="199"/>
    </row>
    <row r="61" spans="1:8" ht="20.100000000000001" customHeight="1" thickBot="1" x14ac:dyDescent="0.35">
      <c r="A61" s="199"/>
      <c r="B61" s="189" t="s">
        <v>283</v>
      </c>
      <c r="C61" s="189" t="s">
        <v>284</v>
      </c>
      <c r="D61" s="189" t="s">
        <v>285</v>
      </c>
      <c r="E61" s="199"/>
      <c r="F61" s="187" t="s">
        <v>270</v>
      </c>
      <c r="G61" s="187" t="s">
        <v>55</v>
      </c>
      <c r="H61" s="187" t="s">
        <v>271</v>
      </c>
    </row>
    <row r="62" spans="1:8" ht="20.100000000000001" customHeight="1" x14ac:dyDescent="0.3">
      <c r="A62" s="199"/>
      <c r="B62" s="189" t="s">
        <v>286</v>
      </c>
      <c r="C62" s="189" t="s">
        <v>287</v>
      </c>
      <c r="D62" s="189" t="s">
        <v>288</v>
      </c>
      <c r="E62" s="199"/>
      <c r="F62" s="188" t="str">
        <f>C57</f>
        <v>010-1211-1111</v>
      </c>
      <c r="G62" s="200" t="str">
        <f>INDEX($B$57:$B$62,MATCH($F62,$C$57:$C$62),0)</f>
        <v>홍길동</v>
      </c>
      <c r="H62" s="200" t="str">
        <f>INDEX($D$57:$D$62,MATCH($F62,$C$57:$C$62),0)</f>
        <v>전주</v>
      </c>
    </row>
    <row r="63" spans="1:8" ht="20.100000000000001" customHeight="1" x14ac:dyDescent="0.3">
      <c r="A63" s="199"/>
      <c r="B63" s="199"/>
      <c r="C63" s="199"/>
      <c r="D63" s="199"/>
      <c r="E63" s="199"/>
      <c r="F63" s="199"/>
      <c r="G63" s="199"/>
      <c r="H63" s="199"/>
    </row>
    <row r="64" spans="1:8" ht="20.100000000000001" customHeight="1" thickBot="1" x14ac:dyDescent="0.35">
      <c r="A64" s="199"/>
      <c r="B64" s="191" t="s">
        <v>282</v>
      </c>
      <c r="D64" s="199"/>
      <c r="E64" s="199"/>
      <c r="F64" s="199"/>
      <c r="G64" s="199"/>
      <c r="H64" s="199"/>
    </row>
    <row r="65" spans="1:8" ht="20.100000000000001" customHeight="1" thickBot="1" x14ac:dyDescent="0.35">
      <c r="A65" s="199"/>
      <c r="B65" s="187" t="s">
        <v>55</v>
      </c>
      <c r="C65" s="187" t="s">
        <v>270</v>
      </c>
      <c r="D65" s="187" t="s">
        <v>271</v>
      </c>
      <c r="E65" s="199"/>
      <c r="F65" s="199"/>
      <c r="G65" s="199"/>
      <c r="H65" s="199"/>
    </row>
    <row r="66" spans="1:8" ht="20.100000000000001" customHeight="1" x14ac:dyDescent="0.3">
      <c r="A66" s="199"/>
      <c r="B66" s="188" t="s">
        <v>60</v>
      </c>
      <c r="C66" s="200" t="str">
        <f t="array" ref="C66">IFERROR(INDEX($C$57:$C$62,SMALL(IF(($B$66=$B$57:$B$62),MATCH(ROW($B$57:$B$62), ROW($B$57:$B$62)), ""), ROWS($A$55:A55))),"")</f>
        <v>010-1211-1111</v>
      </c>
      <c r="D66" s="200" t="str">
        <f t="array" ref="D66">IFERROR(INDEX($D$57:$D$62,SMALL(IF(($B$66=$B$57:$B$62),MATCH(ROW($B$57:$B$62), ROW($B$57:$B$62)), ""), ROWS($A$55:B55))),"")</f>
        <v>전주</v>
      </c>
      <c r="E66" s="199"/>
      <c r="F66" s="199"/>
      <c r="G66" s="199"/>
      <c r="H66" s="199"/>
    </row>
    <row r="67" spans="1:8" ht="20.100000000000001" customHeight="1" x14ac:dyDescent="0.3">
      <c r="A67" s="199"/>
      <c r="C67" s="200" t="str">
        <f t="array" ref="C67">IFERROR(INDEX($C$57:$C$62,SMALL(IF(($B$66=$B$57:$B$62),MATCH(ROW($B$57:$B$62), ROW($B$57:$B$62)), ""), ROWS($A$55:A56))),"")</f>
        <v>010-1211-1114</v>
      </c>
      <c r="D67" s="200" t="str">
        <f t="array" ref="D67">IFERROR(INDEX($D$57:$D$62,SMALL(IF(($B$66=$B$57:$B$62),MATCH(ROW($B$57:$B$62), ROW($B$57:$B$62)), ""), ROWS($A$55:B56))),"")</f>
        <v>수원</v>
      </c>
      <c r="E67" s="199"/>
      <c r="F67" s="199"/>
      <c r="G67" s="199"/>
      <c r="H67" s="199"/>
    </row>
    <row r="68" spans="1:8" ht="20.100000000000001" customHeight="1" x14ac:dyDescent="0.3">
      <c r="A68" s="199"/>
      <c r="B68" s="190" t="s">
        <v>289</v>
      </c>
      <c r="E68" s="199"/>
      <c r="F68" s="199"/>
      <c r="G68" s="199"/>
      <c r="H68" s="199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SUM관련</vt:lpstr>
      <vt:lpstr>논리함수,예측</vt:lpstr>
      <vt:lpstr>날짜함수</vt:lpstr>
      <vt:lpstr>카운트함수</vt:lpstr>
      <vt:lpstr>텍스트 함수</vt:lpstr>
      <vt:lpstr>함수예제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coupang</dc:creator>
  <cp:lastModifiedBy>coupang</cp:lastModifiedBy>
  <dcterms:created xsi:type="dcterms:W3CDTF">2021-12-01T00:11:36Z</dcterms:created>
  <dcterms:modified xsi:type="dcterms:W3CDTF">2021-12-01T00:31:11Z</dcterms:modified>
</cp:coreProperties>
</file>